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40" firstSheet="3" activeTab="11"/>
  </bookViews>
  <sheets>
    <sheet name="Лист1" sheetId="1" r:id="rId1"/>
    <sheet name="Лист2" sheetId="2" r:id="rId2"/>
    <sheet name="Лист3" sheetId="3" r:id="rId3"/>
    <sheet name="Лист4" sheetId="4" r:id="rId4"/>
    <sheet name="Лист6" sheetId="5" r:id="rId5"/>
    <sheet name="Лист7" sheetId="6" r:id="rId6"/>
    <sheet name="Лист8" sheetId="7" r:id="rId7"/>
    <sheet name="Лист9" sheetId="8" r:id="rId8"/>
    <sheet name="Лист10" sheetId="9" r:id="rId9"/>
    <sheet name="Лист11" sheetId="10" r:id="rId10"/>
    <sheet name="Лист12" sheetId="11" r:id="rId11"/>
    <sheet name="Лист13" sheetId="12" r:id="rId12"/>
    <sheet name="Лист14" sheetId="13" r:id="rId13"/>
    <sheet name="Лист15" sheetId="14" r:id="rId14"/>
    <sheet name="Лист16" sheetId="15" r:id="rId15"/>
  </sheets>
  <definedNames/>
  <calcPr fullCalcOnLoad="1"/>
</workbook>
</file>

<file path=xl/sharedStrings.xml><?xml version="1.0" encoding="utf-8"?>
<sst xmlns="http://schemas.openxmlformats.org/spreadsheetml/2006/main" count="6985" uniqueCount="620">
  <si>
    <t>Кузьмина Николая Владимировича, действующего на основании</t>
  </si>
  <si>
    <t xml:space="preserve">                оказания услуг по передаче</t>
  </si>
  <si>
    <t xml:space="preserve">   Мы, нижеподписавшиеся :  "Заказчик" в лице генерального директора ОАО "Свердловэнерго"</t>
  </si>
  <si>
    <t xml:space="preserve">   </t>
  </si>
  <si>
    <t xml:space="preserve">электроэнергии по подразделениям за  </t>
  </si>
  <si>
    <r>
      <t>1</t>
    </r>
    <r>
      <rPr>
        <sz val="8"/>
        <rFont val="Times New Roman Cyr"/>
        <family val="1"/>
      </rPr>
      <t xml:space="preserve">. Транзит,  ф. "Ключи" </t>
    </r>
  </si>
  <si>
    <t>Склады</t>
  </si>
  <si>
    <t>ЛКП</t>
  </si>
  <si>
    <t>УРГМО</t>
  </si>
  <si>
    <t>ВСЕГО :</t>
  </si>
  <si>
    <t xml:space="preserve">     предприятия ОАО "Ключевский завод фкрросплавов" по договору с ОАО "Свердловэнергосбыт"</t>
  </si>
  <si>
    <t xml:space="preserve">       Сводная ведомость потребления электроэнергии на производственные и хозяйственные нужды</t>
  </si>
  <si>
    <t>Месяц</t>
  </si>
  <si>
    <r>
      <t>2</t>
    </r>
    <r>
      <rPr>
        <sz val="8"/>
        <rFont val="Times New Roman Cyr"/>
        <family val="1"/>
      </rPr>
      <t>. Транзит ООО "Форатек-т"</t>
    </r>
  </si>
  <si>
    <r>
      <t xml:space="preserve">                                                                                                                                                        </t>
    </r>
    <r>
      <rPr>
        <b/>
        <sz val="10"/>
        <rFont val="Times New Roman Cyr"/>
        <family val="1"/>
      </rPr>
      <t>АКТ 06-07</t>
    </r>
  </si>
  <si>
    <t>30.06.2007 г.</t>
  </si>
  <si>
    <t>01.06.2007 г.</t>
  </si>
  <si>
    <t xml:space="preserve">   Транзит ООО "Форатек-т"</t>
  </si>
  <si>
    <t>Директор филиала центральный сбытом</t>
  </si>
  <si>
    <r>
      <t>6</t>
    </r>
    <r>
      <rPr>
        <sz val="8"/>
        <rFont val="Times New Roman Cyr"/>
        <family val="1"/>
      </rPr>
      <t>. Транит ИП Черемискин О.</t>
    </r>
  </si>
  <si>
    <t xml:space="preserve">   Транит ИПЧеремискин О.</t>
  </si>
  <si>
    <t>Наружное освещение</t>
  </si>
  <si>
    <t>2. ТРАНЗИТ НА СТОРОНУ,  всего :</t>
  </si>
  <si>
    <t xml:space="preserve">                                      </t>
  </si>
  <si>
    <t>Транзит,"БИЗ"ЛЭП-35 кВ, ЗЭС</t>
  </si>
  <si>
    <t>Итого транзит электроэнергии на сторону, без учёта потребления завода и ЛЭП-35 кВ, "БИЗ":</t>
  </si>
  <si>
    <r>
      <t xml:space="preserve"> </t>
    </r>
    <r>
      <rPr>
        <b/>
        <sz val="10"/>
        <rFont val="Times New Roman Cyr"/>
        <family val="1"/>
      </rPr>
      <t xml:space="preserve">  </t>
    </r>
  </si>
  <si>
    <t xml:space="preserve">  4)  Реактивная  энергия, потребитель ОАО "Свердловэнерго" филиал ЗЭС</t>
  </si>
  <si>
    <t>5) Реактивная  энергия, договор энергоснабжения с ОАО "Свердловэнергосбыт" УКОПр</t>
  </si>
  <si>
    <t xml:space="preserve"> 6) Реактивная  энергия, договор энергоснабжения с ОАО "Свердловэнергосбыт" Западный сбыт</t>
  </si>
  <si>
    <t>6.1 ООО"Пенопласт-строй" Т2</t>
  </si>
  <si>
    <t xml:space="preserve">      ООО "Пенопласт-строй" Т1</t>
  </si>
  <si>
    <t>6.2 ИП Черемискин О.И. ввод №1</t>
  </si>
  <si>
    <t xml:space="preserve">      ИП Черемискин О.И. ввод №2</t>
  </si>
  <si>
    <t xml:space="preserve">      ООО "Форатек-техно" ввод №2</t>
  </si>
  <si>
    <r>
      <t>2.3</t>
    </r>
    <r>
      <rPr>
        <sz val="8"/>
        <rFont val="Times New Roman Cyr"/>
        <family val="1"/>
      </rPr>
      <t xml:space="preserve"> ООО "Форатек-техно" ввод №1</t>
    </r>
  </si>
  <si>
    <t>5.1 ОАО "Водоканал",ввод №1 Т-1</t>
  </si>
  <si>
    <t>5.2 ОАО "Водоканал",ввод №2 Т-1</t>
  </si>
  <si>
    <r>
      <t>5.3</t>
    </r>
    <r>
      <rPr>
        <sz val="8"/>
        <rFont val="Times New Roman Cyr"/>
        <family val="1"/>
      </rPr>
      <t xml:space="preserve"> ООО "Форатек-техно" ввод №1</t>
    </r>
  </si>
  <si>
    <t>5.4 ОАО "Екатеринбургнефтепродукт" Т-2</t>
  </si>
  <si>
    <t>2.4 ОАО "Екатеринбургнефтепродукт" Т-2</t>
  </si>
  <si>
    <t xml:space="preserve">                                                6) участок ХВО</t>
  </si>
  <si>
    <r>
      <t>Активная  электроэнергия,</t>
    </r>
    <r>
      <rPr>
        <sz val="10"/>
        <rFont val="Times New Roman Cyr"/>
        <family val="1"/>
      </rPr>
      <t xml:space="preserve">  </t>
    </r>
    <r>
      <rPr>
        <b/>
        <sz val="10"/>
        <rFont val="Times New Roman Cyr"/>
        <family val="0"/>
      </rPr>
      <t xml:space="preserve">ПС "Ключи"  ГПП-110/35/6  кВ        </t>
    </r>
    <r>
      <rPr>
        <sz val="10"/>
        <rFont val="Times New Roman Cyr"/>
        <family val="1"/>
      </rPr>
      <t xml:space="preserve">                                                                   </t>
    </r>
  </si>
  <si>
    <t xml:space="preserve">  Показания счётчика</t>
  </si>
  <si>
    <t xml:space="preserve">      с сетей посёлка : </t>
  </si>
  <si>
    <t xml:space="preserve">         ВСЕГО ПО ПОДСТАНЦИИ, в том числе :</t>
  </si>
  <si>
    <t>ЗРУ 6 кВ, ф. "Скважина-1", яч. № 4</t>
  </si>
  <si>
    <t>ЗРУ 6 кВ, ф. "Посёлок-3", яч. № 4а</t>
  </si>
  <si>
    <t>ЗРУ 6 кВ, ф. "Посёлок-2", яч. № 15</t>
  </si>
  <si>
    <t>ЗРУ 6 кВ, ф. "Посёлок-1", яч. № 29</t>
  </si>
  <si>
    <t>ЗРУ 6 кВ, ф. "Посёлок-5", яч. № 45</t>
  </si>
  <si>
    <t>ЗРУ 6 кВ, ф. "Посёлок-4", яч. № 50</t>
  </si>
  <si>
    <t>ЗРУ 6 кВ, ф. "Скважина-2", яч. № 51</t>
  </si>
  <si>
    <t>О4050340</t>
  </si>
  <si>
    <t>О4050284</t>
  </si>
  <si>
    <t>ЗРУ 6 кВ, ф. "Очистные-1", яч. № 4</t>
  </si>
  <si>
    <t>ЗРУ 6 кВ, ф. "Очистные-2", яч. № 19</t>
  </si>
  <si>
    <t xml:space="preserve">к/л 0,4 кВ, ул. "Заводская", ав. № </t>
  </si>
  <si>
    <t>2007 г.</t>
  </si>
  <si>
    <r>
      <t xml:space="preserve">1. </t>
    </r>
    <r>
      <rPr>
        <sz val="8"/>
        <rFont val="Times New Roman Cyr"/>
        <family val="1"/>
      </rPr>
      <t>Общежитие с эл.плитами</t>
    </r>
  </si>
  <si>
    <r>
      <t xml:space="preserve">2. </t>
    </r>
    <r>
      <rPr>
        <sz val="8"/>
        <rFont val="Times New Roman Cyr"/>
        <family val="1"/>
      </rPr>
      <t>Общежитие с эл.плитами</t>
    </r>
  </si>
  <si>
    <t xml:space="preserve">   ул. Клубная 2а, ввод №1</t>
  </si>
  <si>
    <t xml:space="preserve">   ул. Клубная 2а, ввод №2</t>
  </si>
  <si>
    <t xml:space="preserve">  ул. Молодёжная, ввод №1</t>
  </si>
  <si>
    <t xml:space="preserve">  ул. Молодёжная, ввод №2</t>
  </si>
  <si>
    <r>
      <t>3.</t>
    </r>
    <r>
      <rPr>
        <sz val="8"/>
        <rFont val="Times New Roman Cyr"/>
        <family val="0"/>
      </rPr>
      <t xml:space="preserve"> Технические цели завода</t>
    </r>
  </si>
  <si>
    <t xml:space="preserve">        водозабор на р. Исеть</t>
  </si>
  <si>
    <r>
      <t>В июне 2007 г. выполнена передача электроэнергии в объёме</t>
    </r>
    <r>
      <rPr>
        <b/>
        <sz val="10"/>
        <rFont val="Times New Roman Cyr"/>
        <family val="1"/>
      </rPr>
      <t xml:space="preserve">  </t>
    </r>
    <r>
      <rPr>
        <sz val="10"/>
        <rFont val="Times New Roman Cyr"/>
        <family val="1"/>
      </rPr>
      <t>-</t>
    </r>
  </si>
  <si>
    <t>проработал 450 часов, установл. мощность 75 кВт</t>
  </si>
  <si>
    <t>февраль</t>
  </si>
  <si>
    <t>март</t>
  </si>
  <si>
    <t>апрель</t>
  </si>
  <si>
    <t>август</t>
  </si>
  <si>
    <t>октябрь</t>
  </si>
  <si>
    <t>ЗРУ 6 кВ, ф. "Ключи", яч. № 38</t>
  </si>
  <si>
    <t xml:space="preserve">                  </t>
  </si>
  <si>
    <t>к/л 0,4 кВ, ул."Заводская"</t>
  </si>
  <si>
    <t xml:space="preserve">старое на </t>
  </si>
  <si>
    <t>новое на</t>
  </si>
  <si>
    <r>
      <t xml:space="preserve">ферросплавов"                             </t>
    </r>
    <r>
      <rPr>
        <b/>
        <sz val="10"/>
        <rFont val="Times New Roman Cyr"/>
        <family val="1"/>
      </rPr>
      <t xml:space="preserve"> РАСХОД</t>
    </r>
    <r>
      <rPr>
        <sz val="10"/>
        <rFont val="Times New Roman Cyr"/>
        <family val="1"/>
      </rPr>
      <t xml:space="preserve">                             Планово-экономическому отделу</t>
    </r>
  </si>
  <si>
    <t xml:space="preserve">  в рублях</t>
  </si>
  <si>
    <t xml:space="preserve">  без НДС</t>
  </si>
  <si>
    <t xml:space="preserve">    кВтч</t>
  </si>
  <si>
    <r>
      <t xml:space="preserve">ферросплавов"                             </t>
    </r>
    <r>
      <rPr>
        <b/>
        <sz val="10"/>
        <rFont val="Times New Roman Cyr"/>
        <family val="1"/>
      </rPr>
      <t xml:space="preserve"> </t>
    </r>
    <r>
      <rPr>
        <b/>
        <i/>
        <sz val="10"/>
        <rFont val="Times New Roman Cyr"/>
        <family val="1"/>
      </rPr>
      <t>ОТЧЁТ</t>
    </r>
    <r>
      <rPr>
        <sz val="10"/>
        <rFont val="Times New Roman Cyr"/>
        <family val="1"/>
      </rPr>
      <t xml:space="preserve">                                 планово-экономическому отделу</t>
    </r>
  </si>
  <si>
    <t>ИП Черемискин О.И.</t>
  </si>
  <si>
    <t>ЭЭЦ, всего :</t>
  </si>
  <si>
    <t xml:space="preserve">   2007 г.</t>
  </si>
  <si>
    <t xml:space="preserve">                     в том числе :  1) котельные</t>
  </si>
  <si>
    <t xml:space="preserve">                                               2) сжатый воздух</t>
  </si>
  <si>
    <t xml:space="preserve">                                               3) вода техническая</t>
  </si>
  <si>
    <t xml:space="preserve">                                               4) электро-ремонтное отделение</t>
  </si>
  <si>
    <t xml:space="preserve">                                                5) участок УСП</t>
  </si>
  <si>
    <r>
      <t xml:space="preserve">Транспортный цех, всего : </t>
    </r>
    <r>
      <rPr>
        <sz val="10"/>
        <rFont val="Times New Roman Cyr"/>
        <family val="1"/>
      </rPr>
      <t xml:space="preserve">   </t>
    </r>
  </si>
  <si>
    <t xml:space="preserve">                                                в том числе :   1) АТУ</t>
  </si>
  <si>
    <t xml:space="preserve">                                                                          2) ЖДУ</t>
  </si>
  <si>
    <t>ОАО "Свердловэнергосбыт" УКОПр</t>
  </si>
  <si>
    <t xml:space="preserve">    </t>
  </si>
  <si>
    <t>себестоимость за октябрь с октябрьскими затратами по УСП</t>
  </si>
  <si>
    <t xml:space="preserve"> Действующий тариф на услуги по передаче электроэнергии  в соответствии с Постановлением РЭК</t>
  </si>
  <si>
    <t xml:space="preserve">  2007 г.</t>
  </si>
  <si>
    <t>проработал 330 часов, установленная мощность 75 кВт</t>
  </si>
  <si>
    <r>
      <t xml:space="preserve"> Свердловской области № 177-ПК от 29.11.2006 г. по диапазонам напряжения     </t>
    </r>
    <r>
      <rPr>
        <b/>
        <sz val="10"/>
        <rFont val="Times New Roman Cyr"/>
        <family val="1"/>
      </rPr>
      <t>СН-1 по 0,026 коп./кВтч</t>
    </r>
  </si>
  <si>
    <r>
      <t xml:space="preserve">               </t>
    </r>
    <r>
      <rPr>
        <sz val="8"/>
        <rFont val="Times New Roman Cyr"/>
        <family val="0"/>
      </rPr>
      <t xml:space="preserve"> АЗС № 20                                Т-1</t>
    </r>
  </si>
  <si>
    <t>Общий объём транзита электроэнергии в ОАО "Свердловэнерго" по уровням напряжений  СН-1</t>
  </si>
  <si>
    <t xml:space="preserve">         СН-2</t>
  </si>
  <si>
    <t xml:space="preserve">                Приложение №  к договору,</t>
  </si>
  <si>
    <t>ОАО "Ключевский завод                                                                         ОАО "Свердловэнергосбыт"</t>
  </si>
  <si>
    <t>Подсобное хозяйство</t>
  </si>
  <si>
    <t xml:space="preserve">Наименование подразделений </t>
  </si>
  <si>
    <t>сумма, руб.</t>
  </si>
  <si>
    <t xml:space="preserve">                                            3) Горный участок ( карьер )</t>
  </si>
  <si>
    <t xml:space="preserve">с ф. "Скважина - 2", насос в береговой насосной </t>
  </si>
  <si>
    <t>ОАО "Свердловэнерго" ВЭС</t>
  </si>
  <si>
    <r>
      <t xml:space="preserve"> </t>
    </r>
    <r>
      <rPr>
        <b/>
        <sz val="10"/>
        <rFont val="Times New Roman Cyr"/>
        <family val="0"/>
      </rPr>
      <t>ООО "Ключевский мраморно-гранитный завод", всего :</t>
    </r>
  </si>
  <si>
    <t xml:space="preserve">Всего с потерями,  в том числе :                                                            </t>
  </si>
  <si>
    <r>
      <t>5</t>
    </r>
    <r>
      <rPr>
        <sz val="8"/>
        <rFont val="Times New Roman Cyr"/>
        <family val="1"/>
      </rPr>
      <t>.Транзит ОАО "ЕНП" Т-2</t>
    </r>
  </si>
  <si>
    <r>
      <t xml:space="preserve">               </t>
    </r>
    <r>
      <rPr>
        <sz val="8"/>
        <rFont val="Times New Roman Cyr"/>
        <family val="0"/>
      </rPr>
      <t xml:space="preserve"> АЗС № 20     Т-1</t>
    </r>
  </si>
  <si>
    <r>
      <t xml:space="preserve">1. </t>
    </r>
    <r>
      <rPr>
        <sz val="9"/>
        <rFont val="Times New Roman Cyr"/>
        <family val="1"/>
      </rPr>
      <t>Транзит ОАО "Свердловэнерго " по ВН плата за энергию</t>
    </r>
  </si>
  <si>
    <r>
      <t xml:space="preserve">                                                         </t>
    </r>
    <r>
      <rPr>
        <sz val="9"/>
        <rFont val="Times New Roman Cyr"/>
        <family val="0"/>
      </rPr>
      <t xml:space="preserve">     по СН-2 плата за энергию</t>
    </r>
  </si>
  <si>
    <t xml:space="preserve">                                                              по ВН плата за мощность</t>
  </si>
  <si>
    <t xml:space="preserve">                                                              по СН-2 плата за мощность</t>
  </si>
  <si>
    <t>ЛЭП "БИЗ"</t>
  </si>
  <si>
    <t>КЛ "Посёлок 1"</t>
  </si>
  <si>
    <t>КЛ "Посёлок 2"</t>
  </si>
  <si>
    <t>КЛ "Посёлок 3"</t>
  </si>
  <si>
    <t>КЛ "Посёлок 4"</t>
  </si>
  <si>
    <t>КЛ "Посёлок 5"</t>
  </si>
  <si>
    <t>ВЛ "Скважина-1"</t>
  </si>
  <si>
    <t>ВЛ "Скважина-2"</t>
  </si>
  <si>
    <t>ВЛ "Ключи"</t>
  </si>
  <si>
    <t>КЛ "Очистные-1"</t>
  </si>
  <si>
    <t>КЛ "Очистные-2"</t>
  </si>
  <si>
    <t>КЛ ул. "Заводская"</t>
  </si>
  <si>
    <t>Л.И. Сидорина</t>
  </si>
  <si>
    <t>______________</t>
  </si>
  <si>
    <t>ООО ПКП "Астер-Строй"</t>
  </si>
  <si>
    <t>Итого по всем потребителям</t>
  </si>
  <si>
    <t>С.Н. Дементьева</t>
  </si>
  <si>
    <t>июнь</t>
  </si>
  <si>
    <t xml:space="preserve">1.ОАО "Межрегиональная распределительная сетева компания Урала": </t>
  </si>
  <si>
    <t>сентябрь</t>
  </si>
  <si>
    <t xml:space="preserve">   с сетей посёлка :  общежитие, ( ул. Молодёжная) день</t>
  </si>
  <si>
    <t xml:space="preserve">                                    общежитие, ( ул. Молодёжная ) ночь</t>
  </si>
  <si>
    <t>Главный энергетик                                                                                            С.Ю. Ничков</t>
  </si>
  <si>
    <t>себестоимость за по УСП</t>
  </si>
  <si>
    <t>1.1</t>
  </si>
  <si>
    <t>1.2</t>
  </si>
  <si>
    <t>1.3</t>
  </si>
  <si>
    <t>1.4</t>
  </si>
  <si>
    <t>Согласован объём транзита ОАО "Свердловэнергосбыт"</t>
  </si>
  <si>
    <t>м.п.</t>
  </si>
  <si>
    <t xml:space="preserve">            ____________</t>
  </si>
  <si>
    <t xml:space="preserve">        С.Ю. Ничков</t>
  </si>
  <si>
    <t>1.5</t>
  </si>
  <si>
    <t>ЦЗЛ</t>
  </si>
  <si>
    <t xml:space="preserve">                                              5) УРГПМО</t>
  </si>
  <si>
    <t>ОАО "Газпромнефть-Урал" (АЗС № 20)</t>
  </si>
  <si>
    <t>1.6</t>
  </si>
  <si>
    <t>Одинокова С.Ю.</t>
  </si>
  <si>
    <t>ОАО "МРСК-Урала" (ОП ЗЭС), в т.ч. :</t>
  </si>
  <si>
    <t>Представитель ОАО "МРСК-Урала" ( ЗЭС)</t>
  </si>
  <si>
    <t>1.7</t>
  </si>
  <si>
    <t>1.8</t>
  </si>
  <si>
    <t>1.9</t>
  </si>
  <si>
    <t>1.10</t>
  </si>
  <si>
    <t>1.11</t>
  </si>
  <si>
    <t>1.12</t>
  </si>
  <si>
    <t>ОАО "Свердловэнергосбыт"</t>
  </si>
  <si>
    <r>
      <t xml:space="preserve">ферросплавов"                             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ОТЧЁТ</t>
    </r>
    <r>
      <rPr>
        <sz val="10"/>
        <rFont val="Times New Roman"/>
        <family val="1"/>
      </rPr>
      <t xml:space="preserve">                                 планово-экономическому отделу</t>
    </r>
  </si>
  <si>
    <r>
      <t xml:space="preserve">                                       </t>
    </r>
    <r>
      <rPr>
        <sz val="10"/>
        <rFont val="Times New Roman"/>
        <family val="1"/>
      </rPr>
      <t xml:space="preserve">                   </t>
    </r>
  </si>
  <si>
    <r>
      <t xml:space="preserve">ферросплавов"                             </t>
    </r>
    <r>
      <rPr>
        <b/>
        <sz val="10"/>
        <rFont val="Times New Roman"/>
        <family val="1"/>
      </rPr>
      <t xml:space="preserve"> РАСХОД</t>
    </r>
    <r>
      <rPr>
        <sz val="10"/>
        <rFont val="Times New Roman"/>
        <family val="1"/>
      </rPr>
      <t xml:space="preserve">                             Планово-экономическому отделу</t>
    </r>
  </si>
  <si>
    <r>
      <t xml:space="preserve">Транспортный цех, всего : </t>
    </r>
    <r>
      <rPr>
        <sz val="10"/>
        <rFont val="Times New Roman"/>
        <family val="1"/>
      </rPr>
      <t xml:space="preserve">   </t>
    </r>
  </si>
  <si>
    <t>ООО "Фитакс"</t>
  </si>
  <si>
    <t xml:space="preserve">      </t>
  </si>
  <si>
    <t xml:space="preserve">с сетей завода :                                                                              </t>
  </si>
  <si>
    <t>Кол-во (кВтч)</t>
  </si>
  <si>
    <t xml:space="preserve">   2013 г.</t>
  </si>
  <si>
    <t>руб./кВт*ч</t>
  </si>
  <si>
    <t xml:space="preserve">    кВт*ч</t>
  </si>
  <si>
    <t xml:space="preserve"> а) в том числе:</t>
  </si>
  <si>
    <t xml:space="preserve">за оплачиваемый расход электроэнергии по СН-2, руб/кВт*ч  </t>
  </si>
  <si>
    <t>за оплачиваемый расход электроэнергии по ВН, руб./кВт*ч</t>
  </si>
  <si>
    <t xml:space="preserve">общежитие,  ул. Клубная - 2а, кв. № 4 </t>
  </si>
  <si>
    <t xml:space="preserve">               тариф на содержание сетей  ВН ( МВт )</t>
  </si>
  <si>
    <t xml:space="preserve">               тариф на оплату потерь ВН ( МВт*ч )</t>
  </si>
  <si>
    <t xml:space="preserve">                тариф на содержание сетей СН- 2 ( МВт )</t>
  </si>
  <si>
    <t xml:space="preserve">                тариф на оплату потерь СН- 2 ( МВт*ч )</t>
  </si>
  <si>
    <t xml:space="preserve">  2013 г.</t>
  </si>
  <si>
    <t>(доверенность от 12.12.2012 г.   № СЭСБ - 308 )</t>
  </si>
  <si>
    <t>Все шесть потребителей покупающие электрическую энергию в ОАО "Свердловэнергосбыт"</t>
  </si>
  <si>
    <t>показаний</t>
  </si>
  <si>
    <t>Расход,</t>
  </si>
  <si>
    <t>Приложение № 6.1.</t>
  </si>
  <si>
    <t>к договору энергоснабжения от 02.10.2012 г. №640 К66</t>
  </si>
  <si>
    <t>Акт снятия показаний приборов учёта</t>
  </si>
  <si>
    <t>Потребитель: ОАО "Ключевский завод ферросплавов"</t>
  </si>
  <si>
    <t>Исполнитель: главный энергетик Ничков С.Ю.</t>
  </si>
  <si>
    <t>телефон: (343) 372-13-55</t>
  </si>
  <si>
    <t>Адрес: 624013, Свердловская область, Сысертский район, п.Двуреченск</t>
  </si>
  <si>
    <t>Точка учёта</t>
  </si>
  <si>
    <t>№ счётчика</t>
  </si>
  <si>
    <t>Коэф.</t>
  </si>
  <si>
    <t>Потери</t>
  </si>
  <si>
    <t>на начало</t>
  </si>
  <si>
    <t>на конец</t>
  </si>
  <si>
    <t>трансфор-</t>
  </si>
  <si>
    <t>кВт*ч</t>
  </si>
  <si>
    <t>периода</t>
  </si>
  <si>
    <t>мации</t>
  </si>
  <si>
    <t>Активная электрическая энергия</t>
  </si>
  <si>
    <t>Сысертский ГО</t>
  </si>
  <si>
    <t>от сетей ОАО "МРСК Урала"</t>
  </si>
  <si>
    <t>Итого по вводам ПС "Ключи"</t>
  </si>
  <si>
    <t>1.1.</t>
  </si>
  <si>
    <t>в том числе: транзит электрической энергии в сети ОАО "МРСК-Урала" (ТСО) (невычитаемый)</t>
  </si>
  <si>
    <t>1.1.1.</t>
  </si>
  <si>
    <t>ВЛ-35 кВ, "БИЗ-Ключи"</t>
  </si>
  <si>
    <t xml:space="preserve">(АЗС №20)                                                  </t>
  </si>
  <si>
    <t xml:space="preserve">ОАО "Газпромнефть-Урал"                  </t>
  </si>
  <si>
    <t>1.2.</t>
  </si>
  <si>
    <t>в том числе: транзит электрической энергии в сети ОАО "МРСК-Урала" (ТСО)</t>
  </si>
  <si>
    <t>1.2.1.</t>
  </si>
  <si>
    <t>бытовые и прочие потребители,</t>
  </si>
  <si>
    <t>1.2.2.</t>
  </si>
  <si>
    <t>(ф."Ключи"), Жилищно-коммунальные,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</si>
  <si>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</si>
  <si>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</si>
  <si>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</si>
  <si>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</si>
  <si>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</si>
  <si>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</si>
  <si>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</si>
  <si>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</si>
  <si>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</si>
  <si>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(ф."Заводская"), Жилищно-коммунальные,</t>
  </si>
  <si>
    <t>(ф."Посёлок-1,7"), Жилищно-коммунальные,</t>
  </si>
  <si>
    <t>(ф."Посёлок-2"), Жилищно-коммунальные,</t>
  </si>
  <si>
    <t>(ф."Посёлок-3"), Жилищно-коммунальные,</t>
  </si>
  <si>
    <t>(ф."Посёлок-4"), Жилищно-коммунальные,</t>
  </si>
  <si>
    <t>(ф."Посёлок-5,6"), Жилищно-коммунальные,</t>
  </si>
  <si>
    <t>(ф."Скважина-1"), Жилищно-коммунальные,</t>
  </si>
  <si>
    <t>(ф."Скважина-2"), Жилищно-коммунальные,</t>
  </si>
  <si>
    <t>(ф."Очистные-1"), Жилищно-коммунальные,</t>
  </si>
  <si>
    <t>(ф."Очистные-2"), Жилищно-коммунальные,</t>
  </si>
  <si>
    <t>Итого транзит в сети</t>
  </si>
  <si>
    <t>в том числе: транзит электрической энергии транзитным Потребителям, имеющим непосредственное технологическое присоединение к сетям</t>
  </si>
  <si>
    <t>Потребителя и заключившим прямые договоры электроснабжения с Гарантирующим поставщиком</t>
  </si>
  <si>
    <t>1.3.</t>
  </si>
  <si>
    <t>1.3.1.</t>
  </si>
  <si>
    <t>Производственные объекты по адресу:</t>
  </si>
  <si>
    <t xml:space="preserve">Сысертский район, п.Двуреченск </t>
  </si>
  <si>
    <t>1.3.2.</t>
  </si>
  <si>
    <t>1.3.3.</t>
  </si>
  <si>
    <t>1.3.4.</t>
  </si>
  <si>
    <t xml:space="preserve">                                                                      день</t>
  </si>
  <si>
    <t>ОАО "Водоканал"                                    ночь</t>
  </si>
  <si>
    <t xml:space="preserve">                                                                      ночь</t>
  </si>
  <si>
    <t>ООО Фитакс"                                             день</t>
  </si>
  <si>
    <t>1.3.5.</t>
  </si>
  <si>
    <t>ООО ПКП "Астер-Строй"                      день</t>
  </si>
  <si>
    <t>1.3.6.</t>
  </si>
  <si>
    <t>1.3.7.</t>
  </si>
  <si>
    <t>ООО НПО "Изостер"                               день</t>
  </si>
  <si>
    <t>ИП Черемискин О.И.                               день</t>
  </si>
  <si>
    <t>Итого транзит Потребителям ГП</t>
  </si>
  <si>
    <t>Итого ПС "Ключи"</t>
  </si>
  <si>
    <t>от сетей ОАО "МРСК-Урала"</t>
  </si>
  <si>
    <t>ТП "Береговая насосная" (ввод №1)</t>
  </si>
  <si>
    <t>по адресу: п.Двуреченск, ул.Ленина</t>
  </si>
  <si>
    <t>ТП "Береговая насосная" (ввод №2)</t>
  </si>
  <si>
    <t>2.1.</t>
  </si>
  <si>
    <t>2.2.</t>
  </si>
  <si>
    <t>2.</t>
  </si>
  <si>
    <t>Итого ТП "Береговая насосная"</t>
  </si>
  <si>
    <t>Итого по договору</t>
  </si>
  <si>
    <t>Потребитель:</t>
  </si>
  <si>
    <t>Главный энергетик ОАО "Ключевский завод ферросплавов" по доверенности № 13-2/1233 от 26.12.2011 г.         ______________ С.Ю. Ничков</t>
  </si>
  <si>
    <t>ООО НПО "Изостер"</t>
  </si>
  <si>
    <t>Все потребители покупающие электрическую энергию в ОАО "Свердловэнергосбыт"</t>
  </si>
  <si>
    <t>Настоящее Приложение является неотьемлемой частью Договора энергоснабжения от 02.10.2012 г. № 640 К66</t>
  </si>
  <si>
    <t>от Потребителя:</t>
  </si>
  <si>
    <t>мп</t>
  </si>
  <si>
    <t>Главный энергетик ОАО "КЗФ"</t>
  </si>
  <si>
    <t>___________________ С.Ю. Ничков</t>
  </si>
  <si>
    <t>Главный энергетик ОАО "Ключевский завод ферросплавов" по доверенности № 13-2/1245 от 29.12.2012 г.         ______________ С.Ю. Ничков</t>
  </si>
  <si>
    <t>(доверенность от 29.12.2012 г. № 13-2/1245 )</t>
  </si>
  <si>
    <t xml:space="preserve">         Показания счётчиков</t>
  </si>
  <si>
    <t>Реактивная электрическая энергия</t>
  </si>
  <si>
    <t>Приложение № 4</t>
  </si>
  <si>
    <t>к договору электроснабжения от 02.10.2012 г. №640</t>
  </si>
  <si>
    <t>Квартира №4, в жилом здании по адресу:</t>
  </si>
  <si>
    <t>п.Двуреченск, ул. Клубная, 2А</t>
  </si>
  <si>
    <t>п.Двуреченск, ул. Молодёжная, д.3     (ночь)</t>
  </si>
  <si>
    <t>Жилое здание по адресу:                        (день)</t>
  </si>
  <si>
    <t>кВт*ч.</t>
  </si>
  <si>
    <r>
      <t xml:space="preserve">7. Транзит ОАО "Свердловэнерго" ЗЭС, п. Двуреченск       </t>
    </r>
    <r>
      <rPr>
        <sz val="10"/>
        <rFont val="Times New Roman Cyr"/>
        <family val="1"/>
      </rPr>
      <t xml:space="preserve">                                                                                     </t>
    </r>
  </si>
  <si>
    <t xml:space="preserve">       с сетей завода : </t>
  </si>
  <si>
    <t>Здравпункт</t>
  </si>
  <si>
    <t>ноябрь</t>
  </si>
  <si>
    <t>ДАП ( цех № 3 )</t>
  </si>
  <si>
    <t>ФЦ № 1</t>
  </si>
  <si>
    <t>ФЦ № 2</t>
  </si>
  <si>
    <t xml:space="preserve">                                                6) участок по ремоту эл.обор-ния ФЦ</t>
  </si>
  <si>
    <t>ЦРМО, всего :</t>
  </si>
  <si>
    <t xml:space="preserve">    2) участок по ремонту мех.обор. ФЦ</t>
  </si>
  <si>
    <t>О109056121</t>
  </si>
  <si>
    <t>О109056126</t>
  </si>
  <si>
    <t>О109052170</t>
  </si>
  <si>
    <t xml:space="preserve">                электрической энергии</t>
  </si>
  <si>
    <t>Итого транзит электроэнергии в ОАО "Свердловэнерго" филиал ЗЭС</t>
  </si>
  <si>
    <t>Итого транзит электроэнергии для потребителей ОАО "Свердловэнергосбыт" УКОПр</t>
  </si>
  <si>
    <t>3.1ООО"Пенопласт-строй"Т2</t>
  </si>
  <si>
    <t xml:space="preserve">  ООО "Пенопласт-строй" Т1</t>
  </si>
  <si>
    <t>2  Активная  энергия, договор энергоснабжения с ОАО "Свердловэнергосбыт" УКОПр</t>
  </si>
  <si>
    <t xml:space="preserve"> 3 Активная  энергия, договор энергоснабжения с ОАО "Свердловэнергосбыт" Западный сбыт</t>
  </si>
  <si>
    <t xml:space="preserve">с ф. "Скважина -  2", насос в береговой насосной </t>
  </si>
  <si>
    <t>3.2 ИП Черемискин О.И.</t>
  </si>
  <si>
    <t xml:space="preserve">  ИП Черемискин О.И.</t>
  </si>
  <si>
    <t>Итого транзит электроэнергии для потребителей ОАО "Свердловэнергосбыт" Западный сбыт</t>
  </si>
  <si>
    <t>год</t>
  </si>
  <si>
    <t>затраты на УСП за июль</t>
  </si>
  <si>
    <t xml:space="preserve">         п. Двуреченск                                                                                                    31 августа 2007 г.</t>
  </si>
  <si>
    <t>О109053225</t>
  </si>
  <si>
    <t xml:space="preserve">        </t>
  </si>
  <si>
    <t xml:space="preserve">                                                                                          к регламенту формирования баланса электрической</t>
  </si>
  <si>
    <t xml:space="preserve">                                                                                           Приложение № 2</t>
  </si>
  <si>
    <t xml:space="preserve">                                                                                           энергии в сети Исполнителя к договору № 33ПЭ</t>
  </si>
  <si>
    <t>за ноябрь 2007 года</t>
  </si>
  <si>
    <r>
      <t>4</t>
    </r>
    <r>
      <rPr>
        <sz val="8"/>
        <rFont val="Times New Roman Cyr"/>
        <family val="1"/>
      </rPr>
      <t>.Транзит ООО"Пенопл.-ст"т2</t>
    </r>
  </si>
  <si>
    <t xml:space="preserve">                                             т1</t>
  </si>
  <si>
    <t xml:space="preserve">            </t>
  </si>
  <si>
    <r>
      <t xml:space="preserve">                                       </t>
    </r>
    <r>
      <rPr>
        <sz val="10"/>
        <rFont val="Times New Roman Cyr"/>
        <family val="1"/>
      </rPr>
      <t xml:space="preserve">                   </t>
    </r>
  </si>
  <si>
    <t xml:space="preserve">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</si>
  <si>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к регламенту формирования баланса электрической</t>
  </si>
  <si>
    <t xml:space="preserve">                                                                                                        энергии в сети Исполнителя к договору № 33ПЭ</t>
  </si>
  <si>
    <t>№ п/п</t>
  </si>
  <si>
    <t>Наименование сетевой организации</t>
  </si>
  <si>
    <t xml:space="preserve">             Объём, переданной электроэнергии, кВт*ч</t>
  </si>
  <si>
    <t>Всего</t>
  </si>
  <si>
    <t>ВН</t>
  </si>
  <si>
    <t>СН-1</t>
  </si>
  <si>
    <t>СН-2</t>
  </si>
  <si>
    <t>НН</t>
  </si>
  <si>
    <t>ОАО "Водоканал"</t>
  </si>
  <si>
    <t>ООО "Форатек-техно"</t>
  </si>
  <si>
    <t>ОАО "Екатеринбургнефтепродукт"</t>
  </si>
  <si>
    <r>
      <t xml:space="preserve">   </t>
    </r>
    <r>
      <rPr>
        <sz val="10"/>
        <rFont val="Times New Roman Cyr"/>
        <family val="1"/>
      </rPr>
      <t xml:space="preserve">         </t>
    </r>
  </si>
  <si>
    <r>
      <t>3</t>
    </r>
    <r>
      <rPr>
        <sz val="8"/>
        <rFont val="Times New Roman Cyr"/>
        <family val="1"/>
      </rPr>
      <t>. ОАО"Водоканал", вв.№1, Т1</t>
    </r>
  </si>
  <si>
    <t xml:space="preserve">                              ввод №1, Т2</t>
  </si>
  <si>
    <r>
      <t>3</t>
    </r>
    <r>
      <rPr>
        <sz val="8"/>
        <rFont val="Times New Roman Cyr"/>
        <family val="1"/>
      </rPr>
      <t>.1 ОАО"Водоканал", вв.№2, Т1</t>
    </r>
  </si>
  <si>
    <t xml:space="preserve">                                ввод №2, Т2</t>
  </si>
  <si>
    <r>
      <t xml:space="preserve">1. население проживающее в домах оборудованных стационарными электроплитами </t>
    </r>
    <r>
      <rPr>
        <b/>
        <sz val="10"/>
        <rFont val="Times New Roman Cyr"/>
        <family val="1"/>
      </rPr>
      <t xml:space="preserve">  </t>
    </r>
  </si>
  <si>
    <t>07-9/        "___ " ноября  2007 г.      Главный энергетик                                                                    С.Ю. Ничков</t>
  </si>
  <si>
    <t>07-9/        "___ " ноября  2007 г.    Главный энергетик                                       С.Ю. Ничков</t>
  </si>
  <si>
    <t>ООО "Уралдомноремонт"</t>
  </si>
  <si>
    <t>2.2 ОАО "Водоканал",ввод №2 Т-1</t>
  </si>
  <si>
    <t xml:space="preserve">      ОАО "Водоканал",ввод №2 Т-2</t>
  </si>
  <si>
    <t xml:space="preserve">                                 Сводная ведомость передачи электроэнергии в сети Исполнителя"</t>
  </si>
  <si>
    <t>доверенности, выданной от 18.09.2006 г. № 13-2/423 с другой стороны, составили настоящий АКТ в том,</t>
  </si>
  <si>
    <t xml:space="preserve">  </t>
  </si>
  <si>
    <t>Всего транзит ОАО "Свердловэнерго" ЗЭС, в том числе потребление ОАО "КЗФ":</t>
  </si>
  <si>
    <t>Расход (кВтч,кВАрч)</t>
  </si>
  <si>
    <t>Столовая</t>
  </si>
  <si>
    <t xml:space="preserve">    кВтч, кВАрч</t>
  </si>
  <si>
    <t xml:space="preserve">   Сумма,</t>
  </si>
  <si>
    <t>ООО "КОФ"</t>
  </si>
  <si>
    <r>
      <t xml:space="preserve">ферросплавов"                       </t>
    </r>
    <r>
      <rPr>
        <b/>
        <sz val="10"/>
        <rFont val="Times New Roman Cyr"/>
        <family val="1"/>
      </rPr>
      <t>ОТЧЁТ ( лист 2, листов 2 )</t>
    </r>
    <r>
      <rPr>
        <sz val="10"/>
        <rFont val="Times New Roman Cyr"/>
        <family val="1"/>
      </rPr>
      <t xml:space="preserve">                       г. Екатеринбург</t>
    </r>
  </si>
  <si>
    <r>
      <t xml:space="preserve">ферросплавов"                       </t>
    </r>
    <r>
      <rPr>
        <b/>
        <sz val="10"/>
        <rFont val="Times New Roman Cyr"/>
        <family val="1"/>
      </rPr>
      <t>ОТЧЁТ ( лист 1, листов 2 )</t>
    </r>
    <r>
      <rPr>
        <sz val="10"/>
        <rFont val="Times New Roman Cyr"/>
        <family val="1"/>
      </rPr>
      <t xml:space="preserve">                       г. Екатеринбург</t>
    </r>
  </si>
  <si>
    <r>
      <t xml:space="preserve"> </t>
    </r>
    <r>
      <rPr>
        <b/>
        <sz val="10"/>
        <rFont val="Times New Roman Cyr"/>
        <family val="0"/>
      </rPr>
      <t>С</t>
    </r>
    <r>
      <rPr>
        <b/>
        <sz val="10"/>
        <rFont val="Times New Roman Cyr"/>
        <family val="1"/>
      </rPr>
      <t>Н-2 по 0,032 коп./кВтч</t>
    </r>
  </si>
  <si>
    <t>Итого транзит реактивной электроэнергии в ОАО "Свердловэнерго" филиал ЗЭС</t>
  </si>
  <si>
    <t>Количество</t>
  </si>
  <si>
    <t xml:space="preserve">  1)  Активная  энергия, потребитель ОАО "Свердловэнерго" филиал ЗЭС</t>
  </si>
  <si>
    <r>
      <t xml:space="preserve">                                           </t>
    </r>
    <r>
      <rPr>
        <b/>
        <sz val="10"/>
        <rFont val="Times New Roman Cyr"/>
        <family val="1"/>
      </rPr>
      <t xml:space="preserve">                   ВЫПОЛНЕННЫХ  РАБОТ</t>
    </r>
  </si>
  <si>
    <t>Наименование точек учёта</t>
  </si>
  <si>
    <t xml:space="preserve"> передаваемой электроэнергии</t>
  </si>
  <si>
    <t>счётчика</t>
  </si>
  <si>
    <t>Показания  счётчиков</t>
  </si>
  <si>
    <t>Коэф - т</t>
  </si>
  <si>
    <t xml:space="preserve"> Количество</t>
  </si>
  <si>
    <t xml:space="preserve"> электроэнергии,</t>
  </si>
  <si>
    <t>ПС Ключи, ввод 35 кВ "БИЗ"</t>
  </si>
  <si>
    <t xml:space="preserve">                                   : общежитие, ( ул. Молодёжная )</t>
  </si>
  <si>
    <t xml:space="preserve">                                   : общежитие, ( ул. Клубная - 2а )</t>
  </si>
  <si>
    <t xml:space="preserve">1. ТЕХНОЛОГИЯ ЗАВОДА, всего:                               </t>
  </si>
  <si>
    <t>пересчёта</t>
  </si>
  <si>
    <t xml:space="preserve"> </t>
  </si>
  <si>
    <t>июль</t>
  </si>
  <si>
    <t>май</t>
  </si>
  <si>
    <t>ИП Глазырина Н.</t>
  </si>
  <si>
    <t>в том числе : 1) РМУ</t>
  </si>
  <si>
    <t xml:space="preserve">   3) РСУ</t>
  </si>
  <si>
    <t xml:space="preserve">   4) Прачечная</t>
  </si>
  <si>
    <t>Заводоуправление,  и  АБК БРЦ</t>
  </si>
  <si>
    <t xml:space="preserve">                    в том числе : 1) ЦОМ</t>
  </si>
  <si>
    <t xml:space="preserve">                                            2) Участок дробления</t>
  </si>
  <si>
    <t>"БаСиС - Урал"</t>
  </si>
  <si>
    <t xml:space="preserve">Потери в трансформаторах :                                                                              </t>
  </si>
  <si>
    <t xml:space="preserve">            оплачиваемый расход по нерегулируемым ценам       </t>
  </si>
  <si>
    <r>
      <t>Реактивная  электроэнергия,</t>
    </r>
    <r>
      <rPr>
        <sz val="10"/>
        <rFont val="Times New Roman Cyr"/>
        <family val="1"/>
      </rPr>
      <t xml:space="preserve">  </t>
    </r>
    <r>
      <rPr>
        <b/>
        <sz val="10"/>
        <rFont val="Times New Roman Cyr"/>
        <family val="0"/>
      </rPr>
      <t xml:space="preserve">ПС "Ключи"  ГПП-110/35/6  кВ        </t>
    </r>
    <r>
      <rPr>
        <sz val="10"/>
        <rFont val="Times New Roman Cyr"/>
        <family val="1"/>
      </rPr>
      <t xml:space="preserve">                                                                   </t>
    </r>
  </si>
  <si>
    <t>ОАО "Ключевский завод                                                           Бухгалтерии завода</t>
  </si>
  <si>
    <t xml:space="preserve">          по расходу электроэнергии за  </t>
  </si>
  <si>
    <t>Место установки</t>
  </si>
  <si>
    <t>Номер</t>
  </si>
  <si>
    <t>Пересчёт.</t>
  </si>
  <si>
    <t>Разность</t>
  </si>
  <si>
    <t>Наименование потребителя</t>
  </si>
  <si>
    <t>Расход</t>
  </si>
  <si>
    <t>Тариф,</t>
  </si>
  <si>
    <t>счетчика</t>
  </si>
  <si>
    <t>коэфф-т</t>
  </si>
  <si>
    <t>Начало</t>
  </si>
  <si>
    <t>Конец</t>
  </si>
  <si>
    <t>ОО91920</t>
  </si>
  <si>
    <t>энергии,</t>
  </si>
  <si>
    <t>руб./кВтч</t>
  </si>
  <si>
    <t>Т-1, активный</t>
  </si>
  <si>
    <t xml:space="preserve">              </t>
  </si>
  <si>
    <t>Т-2, активный</t>
  </si>
  <si>
    <t xml:space="preserve">             </t>
  </si>
  <si>
    <t xml:space="preserve"> а) в т.ч. за оплачиваемую актив. мощность, руб/кВт    </t>
  </si>
  <si>
    <t xml:space="preserve">            тех.цели и производственное освещение        </t>
  </si>
  <si>
    <t xml:space="preserve">            оплачиваемую реак. мощность , руб/кВАр        </t>
  </si>
  <si>
    <t xml:space="preserve">            оплачиваемую реак. энергию ,    руб/кВАрч        </t>
  </si>
  <si>
    <t xml:space="preserve">б) Прочие цели завода , всего ( в том числе ) :                                  </t>
  </si>
  <si>
    <t>кВАр*ч</t>
  </si>
  <si>
    <t>Расход  в кВт*ч,</t>
  </si>
  <si>
    <t xml:space="preserve">Всего потребление электроэнергии на производственные цели с потерями, в том числе :  </t>
  </si>
  <si>
    <t xml:space="preserve">  Итого транзит ОАО "Свердловэнерго" ЗЭС, в том числе потребление ОАО "КЗФ":    </t>
  </si>
  <si>
    <t>2.1 ОАО "Водоканал",ввод №1 Т-1</t>
  </si>
  <si>
    <t xml:space="preserve">      ОАО "Водоканал",ввод №1 Т-2</t>
  </si>
  <si>
    <t xml:space="preserve">                    </t>
  </si>
  <si>
    <t xml:space="preserve">                   </t>
  </si>
  <si>
    <t xml:space="preserve">                     </t>
  </si>
  <si>
    <t>07-9/        " ___ " декабря 2007 г.   Главный энергетик                                                          С.Ю. Ничков</t>
  </si>
  <si>
    <t>07-9/        "___ " декабря  2007 г.      Главный энергетик                                                   С.Ю. Ничков</t>
  </si>
  <si>
    <t xml:space="preserve">      ф. "Посёлок-1,7"</t>
  </si>
  <si>
    <t xml:space="preserve">      ф. "Посёлок-2"</t>
  </si>
  <si>
    <t xml:space="preserve">                          </t>
  </si>
  <si>
    <t xml:space="preserve">      ф. "Посёлок-3"</t>
  </si>
  <si>
    <t xml:space="preserve">      ф. "Посёлок-4"</t>
  </si>
  <si>
    <t>2.1</t>
  </si>
  <si>
    <t>2.2</t>
  </si>
  <si>
    <t>2.3</t>
  </si>
  <si>
    <t>ОАО "Свердловэнергосбыт" зап.сбыт</t>
  </si>
  <si>
    <t>3.1</t>
  </si>
  <si>
    <t>ООО "Пенопласт-строй"</t>
  </si>
  <si>
    <t>3.2</t>
  </si>
  <si>
    <t>Главный энергетик ОАО "Ключевский завод ферросплавов"</t>
  </si>
  <si>
    <t>Все пять потребителей покупающие электрическую энергию в ОАО "Свердловэнергосбыт"</t>
  </si>
  <si>
    <r>
      <t xml:space="preserve">относятся к группе потребителей - </t>
    </r>
    <r>
      <rPr>
        <b/>
        <sz val="10"/>
        <rFont val="Times New Roman"/>
        <family val="1"/>
      </rPr>
      <t>прочие потребители</t>
    </r>
  </si>
  <si>
    <t>____________</t>
  </si>
  <si>
    <t>С.Ю. Ничков</t>
  </si>
  <si>
    <t>Передставитель ОАО "Свердловэнергосбыт" УКОПр</t>
  </si>
  <si>
    <t xml:space="preserve">      ф. "Посёлок-5,6"</t>
  </si>
  <si>
    <t xml:space="preserve">      ф. "Скважина-1"</t>
  </si>
  <si>
    <t xml:space="preserve">      ф. "Скважина-2"</t>
  </si>
  <si>
    <t xml:space="preserve">      ф."Очистные-1"</t>
  </si>
  <si>
    <t xml:space="preserve">      ф. "Очистные-2"</t>
  </si>
  <si>
    <t xml:space="preserve">что выполненные работы полностью соответствуют условиям договора оказания услуг по передаче </t>
  </si>
  <si>
    <t>электроэнергии от 24.11.2006 г.  № 33 ПЭ/633.</t>
  </si>
  <si>
    <t>Кальсина Владимира Валентиновича, действующего на основании Устава, с одной стороны, и</t>
  </si>
  <si>
    <t>"Исполнитель" в лице исполнительного директора ОАО "Ключевский завод ферросплавов"</t>
  </si>
  <si>
    <t>Руководитель Арамильского отделения ОАО "Свердловэнергосбыт"</t>
  </si>
  <si>
    <t>______________ А.Л. Мартыновских</t>
  </si>
  <si>
    <t xml:space="preserve">   Показания счётчиков</t>
  </si>
  <si>
    <t>за декабрь 2013 г.</t>
  </si>
  <si>
    <t>кроме того: транзит электрической энергии в сети ОАО "МРСК-Урала" (ТСО) (невычитаемый)</t>
  </si>
  <si>
    <t xml:space="preserve">                                                                      </t>
  </si>
  <si>
    <t>ЗАО "Максимум" , ввод №1, Т-1</t>
  </si>
  <si>
    <t xml:space="preserve">                                     ввод №2, Т-2</t>
  </si>
  <si>
    <t>в том числе Одинокова С.Ю.                 день</t>
  </si>
  <si>
    <t xml:space="preserve"> от сетей ЗАО "Максимум"                   ночь</t>
  </si>
  <si>
    <t>ф. Склады ОАО "КЗФ" от сетей ЗАО "Максимум"</t>
  </si>
  <si>
    <t>307653-03м</t>
  </si>
  <si>
    <t>Главный энергетик ОАО "КЗФ"     _________________ С.Ю. Ничков</t>
  </si>
  <si>
    <r>
      <t>за декабрь 2013 г</t>
    </r>
    <r>
      <rPr>
        <sz val="10"/>
        <rFont val="Times New Roman"/>
        <family val="1"/>
      </rPr>
      <t>.</t>
    </r>
  </si>
  <si>
    <t>ЗАО "Максимум"</t>
  </si>
  <si>
    <t>1.3.7.1</t>
  </si>
  <si>
    <t>1.3.7.2</t>
  </si>
  <si>
    <t>за декабрь 2013 года</t>
  </si>
  <si>
    <t>декабрь</t>
  </si>
  <si>
    <t>07-9/        " ___ " декабря 2013 г.   Главный энергетик                                                                                                                                              С.Ю. Ничков</t>
  </si>
  <si>
    <t xml:space="preserve">07-9/        "___ " декабря  2013 г. </t>
  </si>
  <si>
    <t>январь</t>
  </si>
  <si>
    <t xml:space="preserve">ООО Фитакс"                                             </t>
  </si>
  <si>
    <t xml:space="preserve">ООО ПКП "Астер-Строй"       </t>
  </si>
  <si>
    <t xml:space="preserve">ООО НПО "Изостер"                             </t>
  </si>
  <si>
    <t xml:space="preserve">ИП Черемискин О.И.                         </t>
  </si>
  <si>
    <t xml:space="preserve">в том числе Одинокова С.Ю. </t>
  </si>
  <si>
    <t xml:space="preserve">ООО Фитакс"                                       </t>
  </si>
  <si>
    <t xml:space="preserve">ООО ПКП "Астер-Строй"      </t>
  </si>
  <si>
    <t xml:space="preserve">ООО НПО "Изостер"  </t>
  </si>
  <si>
    <t xml:space="preserve">ИП Черемискин О.И.                       </t>
  </si>
  <si>
    <t xml:space="preserve">в том числе Одинокова С.Ю.  </t>
  </si>
  <si>
    <t xml:space="preserve">ОАО "Водоканал"                         </t>
  </si>
  <si>
    <t xml:space="preserve">ОАО "Водоканал"                           </t>
  </si>
  <si>
    <t>Отчёт по расходу электроэнергии по подразделениям за 2014 год</t>
  </si>
  <si>
    <t>Подразделение</t>
  </si>
  <si>
    <t>Расход э/э, кВт*ч/месяц</t>
  </si>
  <si>
    <t>процент</t>
  </si>
  <si>
    <t>%</t>
  </si>
  <si>
    <t>ФЦ №1</t>
  </si>
  <si>
    <t>ФЦ №2</t>
  </si>
  <si>
    <t>ДАП</t>
  </si>
  <si>
    <t>ЭЭЦ</t>
  </si>
  <si>
    <t>ТЦ</t>
  </si>
  <si>
    <t>ЦРМО</t>
  </si>
  <si>
    <t>Заводоуправление</t>
  </si>
  <si>
    <t>ВСЕГО:</t>
  </si>
  <si>
    <t xml:space="preserve">                               ф. "Стройбаза" ТП № 20</t>
  </si>
  <si>
    <t>на 20 счёт</t>
  </si>
  <si>
    <t>на 25 счёт</t>
  </si>
  <si>
    <t>транзит</t>
  </si>
  <si>
    <t>кол-во, кВт*ч</t>
  </si>
  <si>
    <t>печи</t>
  </si>
  <si>
    <t>дап</t>
  </si>
  <si>
    <t>всего</t>
  </si>
  <si>
    <t>ээц воздух на дап</t>
  </si>
  <si>
    <t>ээц тепло на сторону</t>
  </si>
  <si>
    <t>электроэнергия</t>
  </si>
  <si>
    <t>Сысертский ГО, от сетей ОАО "МРСК Урала"</t>
  </si>
  <si>
    <t>1.1.2.</t>
  </si>
  <si>
    <t>1.1.3.</t>
  </si>
  <si>
    <t>1.1.4.</t>
  </si>
  <si>
    <t>условно-постоянные потери</t>
  </si>
  <si>
    <t>переменные потери</t>
  </si>
  <si>
    <t>Сысертский ГО от сетей ОАО "МРСК Урала"</t>
  </si>
  <si>
    <t>(доверенность от 31.12.2015 г. № 13-2/147 )</t>
  </si>
  <si>
    <t>Потребитель: ПАО "Ключевский завод ферросплавов"</t>
  </si>
  <si>
    <t>Главный энергетик ПАО "КЗФ"</t>
  </si>
  <si>
    <t>ПАО "Ключевский завод                                                           Бухгалтерии завода</t>
  </si>
  <si>
    <t>Главный энергетик ПАО "КЗФ"     _________________ С.Ю. Ничков</t>
  </si>
  <si>
    <t>ферросплавов"                              ОТЧЁТ                                 планово-экономическому отделу</t>
  </si>
  <si>
    <t>относятся к группе потребителей - прочие потребители</t>
  </si>
  <si>
    <t xml:space="preserve">                                                          </t>
  </si>
  <si>
    <t>ферросплавов"                              РАСХОД                             Планово-экономическому отделу</t>
  </si>
  <si>
    <t xml:space="preserve">Транспортный цех, всего :    </t>
  </si>
  <si>
    <t>ЦАП ( цех № 3 )</t>
  </si>
  <si>
    <t>Главный энергетик ПАО "Ключевский завод ферросплавов" по доверенности № 13-2/240 от 22.12.2017 г.         ______________ С.Ю. Ничков</t>
  </si>
  <si>
    <t>(доверенность от 22.12.2017 г. № 13-2/240 )</t>
  </si>
  <si>
    <t xml:space="preserve"> от сетей ООО "Стоун"</t>
  </si>
  <si>
    <t>ООО "Стоун",           ввод №1, Т-1</t>
  </si>
  <si>
    <t xml:space="preserve"> от сетей ООО "Стоун"     </t>
  </si>
  <si>
    <t>ОАО "ЭнергосбытПлюс"</t>
  </si>
  <si>
    <t>ООО "Стоун"</t>
  </si>
  <si>
    <t>ОАО "ЭнергосбытПлюс" зап.сбыт</t>
  </si>
  <si>
    <t>ввод № 1</t>
  </si>
  <si>
    <t>ввод №2</t>
  </si>
  <si>
    <t>Главный энергетик ПАО "Ключевский завод ферросплавов" по доверенности № 13-2/215 от 12.12.2018 г.         ______________ С.Ю. Ничков</t>
  </si>
  <si>
    <t>(доверенность от 12.12.2018 г. № 13-2/215 )</t>
  </si>
  <si>
    <t>ООО "Стоун",      РП № 16, ввод №1, Т-1</t>
  </si>
  <si>
    <t xml:space="preserve">                                РП № 16, ввод №2, Т-2</t>
  </si>
  <si>
    <t>карьер</t>
  </si>
  <si>
    <t>за январь 2020 г.</t>
  </si>
  <si>
    <t>за январь 2020 года</t>
  </si>
  <si>
    <t xml:space="preserve">   2020 г.</t>
  </si>
  <si>
    <t>07-9/        " ___ " января 2020 г.   Главный энергетик                                                                                                                   С.Ю. Ничков</t>
  </si>
  <si>
    <t xml:space="preserve">  2020 г.</t>
  </si>
  <si>
    <t xml:space="preserve">07-9/        "___ " января  2020 г. </t>
  </si>
  <si>
    <t>за февраль 2020 г.</t>
  </si>
  <si>
    <t>за февраль 2020 года</t>
  </si>
  <si>
    <t>07-9/        " ___ " февраля 2020 г.   Главный энергетик                                                                                                                   С.Ю. Ничков</t>
  </si>
  <si>
    <t xml:space="preserve">07-9/        "___ " февраля  2020 г. </t>
  </si>
  <si>
    <t>(доверенность от 19.12.2019 г. № 13-2/196 )</t>
  </si>
  <si>
    <t>за март 2020 г.</t>
  </si>
  <si>
    <t>за март 2020 года</t>
  </si>
  <si>
    <t>07-9/        " ___ " март 2020 г.   Главный энергетик                                                                                                                   С.Ю. Ничков</t>
  </si>
  <si>
    <t xml:space="preserve">07-9/        "___ " март  2020 г. </t>
  </si>
  <si>
    <t>за апрель 2020 г.</t>
  </si>
  <si>
    <t>за апрель 2020 года</t>
  </si>
  <si>
    <t>07-9/        " ___ " апреля 2020 г.   Главный энергетик                                                                                                                   С.Ю. Ничков</t>
  </si>
  <si>
    <t xml:space="preserve">07-9/        "___ " апреля  2020 г. </t>
  </si>
  <si>
    <t>за май 2020 г.</t>
  </si>
  <si>
    <t>за май 2020 года</t>
  </si>
  <si>
    <t>07-9/        " ___ " мая 2020 г.   Главный энергетик                                                                                                                   С.Ю. Ничков</t>
  </si>
  <si>
    <t xml:space="preserve">07-9/        "___ " мая  2020 г. </t>
  </si>
  <si>
    <t>на 29.06.2020 года акт 1859,8</t>
  </si>
  <si>
    <t>реакт. 633,9</t>
  </si>
  <si>
    <t>за июнь 2020 г.</t>
  </si>
  <si>
    <t>за июнь 2020 года</t>
  </si>
  <si>
    <t>07-9/        " ___ " июня 2020 г.   Главный энергетик                                                                                                                   С.Ю. Ничков</t>
  </si>
  <si>
    <t xml:space="preserve">07-9/        "___ " июня  2020 г. </t>
  </si>
  <si>
    <t>за июль 2020 г.</t>
  </si>
  <si>
    <t>за июль 2020 года</t>
  </si>
  <si>
    <t>07-9/        " ___ " июля 2020 г.   Главный энергетик                                                                                                                   С.Ю. Ничков</t>
  </si>
  <si>
    <t xml:space="preserve">07-9/        "___ " июля  2020 г. </t>
  </si>
  <si>
    <t>за август 2020 г.</t>
  </si>
  <si>
    <t>за август 2020 года</t>
  </si>
  <si>
    <t xml:space="preserve">07-9/        "___ " августа  2020 г. </t>
  </si>
  <si>
    <t>07-9/        " ___ " августа 2020 г.   Главный энергетик                                                                                                                   С.Ю. Ничков</t>
  </si>
  <si>
    <t>январь 2020 года</t>
  </si>
  <si>
    <t>февраль 2020 года</t>
  </si>
  <si>
    <t>март 2020 года</t>
  </si>
  <si>
    <t>апрель 2020 года</t>
  </si>
  <si>
    <t>май 2020 года</t>
  </si>
  <si>
    <t>июнь 2020 года</t>
  </si>
  <si>
    <t>июль 2020 года</t>
  </si>
  <si>
    <t>август 2020 года</t>
  </si>
  <si>
    <t>сентябрь 2020 года</t>
  </si>
  <si>
    <t>ТП №20 карьер</t>
  </si>
  <si>
    <t>за сентябрь 2020 г.</t>
  </si>
  <si>
    <t>за сентябрь 2020 года</t>
  </si>
  <si>
    <t>07-9/        " ___ " сентября 2020 г.   Главный энергетик                                                                                                                   С.Ю. Ничков</t>
  </si>
  <si>
    <t xml:space="preserve">07-9/        "___ " сентября  2020 г. </t>
  </si>
  <si>
    <t>за Октябрь 2020 г.</t>
  </si>
  <si>
    <t>за октябрь 2020 г.</t>
  </si>
  <si>
    <t>за октябрь 2020 года</t>
  </si>
  <si>
    <t>07-9/        " ___ " октября 2020 г.   Главный энергетик                                                                                                                   С.Ю. Ничков</t>
  </si>
  <si>
    <t xml:space="preserve">07-9/        "___ " октября  2020 г. </t>
  </si>
  <si>
    <t>за ноябрь 2020 г.</t>
  </si>
  <si>
    <t>за ноябрь 2020 года</t>
  </si>
  <si>
    <t>Представитель ОАО "МРСК-Урала" ( ЦЭС)</t>
  </si>
  <si>
    <t>07-9/        " ___ " ноября 2020 г.   Главный энергетик                                                                                                                   С.Ю. Ничков</t>
  </si>
  <si>
    <t xml:space="preserve">07-9/        "___ " ноября  2020 г. </t>
  </si>
  <si>
    <t>за декабрь 2020 г.</t>
  </si>
  <si>
    <t>за декабрь 2020 года</t>
  </si>
  <si>
    <t>07-9/        " ___ " декабря 2020 г.   Главный энергетик                                                                                                                   С.Ю. Ничков</t>
  </si>
  <si>
    <t xml:space="preserve">суточный расход э/э с ПС №3 на паровую за 1 - 1886,4, за 2 - 1895,4 </t>
  </si>
  <si>
    <t>к расчёту принимаем среднее значение 1891 * 31 = 58621 кВт*ч месяц</t>
  </si>
  <si>
    <t xml:space="preserve">07-9/        "___ " декабря  2020 г. 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</si>
</sst>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0.00000"/>
    <numFmt numFmtId="178" formatCode="0.000000"/>
    <numFmt numFmtId="179" formatCode="#,##0.000_р_."/>
    <numFmt numFmtId="180" formatCode="#,##0.0000_р_."/>
    <numFmt numFmtId="181" formatCode="#,##0.00_р_."/>
    <numFmt numFmtId="182" formatCode="#,##0.00000_р_."/>
    <numFmt numFmtId="183" formatCode="#,##0.0"/>
    <numFmt numFmtId="184" formatCode="#,##0.000000_р_."/>
    <numFmt numFmtId="185" formatCode="#,##0.0000"/>
    <numFmt numFmtId="186" formatCode="0000.0"/>
    <numFmt numFmtId="187" formatCode="#,##0.0_р_."/>
    <numFmt numFmtId="188" formatCode="#,##0.000"/>
    <numFmt numFmtId="189" formatCode="000000.0"/>
    <numFmt numFmtId="190" formatCode="00000.0"/>
    <numFmt numFmtId="191" formatCode="000000.00"/>
    <numFmt numFmtId="192" formatCode="0.00000000"/>
    <numFmt numFmtId="193" formatCode="#,##0.0000000_р_."/>
    <numFmt numFmtId="194" formatCode="#,##0.00000000_р_."/>
    <numFmt numFmtId="195" formatCode="0.000000000"/>
    <numFmt numFmtId="196" formatCode="#,##0.000000000_р_."/>
    <numFmt numFmtId="197" formatCode="0.0000000000"/>
    <numFmt numFmtId="198" formatCode="#,##0.0000000000_р_."/>
    <numFmt numFmtId="199" formatCode="00000"/>
    <numFmt numFmtId="200" formatCode="0.0000000"/>
    <numFmt numFmtId="201" formatCode="000000"/>
    <numFmt numFmtId="202" formatCode="0000000000000000"/>
    <numFmt numFmtId="203" formatCode="0.000"/>
    <numFmt numFmtId="204" formatCode="[$-FC19]d\ mmmm\ yyyy\ &quot;г.&quot;"/>
    <numFmt numFmtId="205" formatCode="0000.000"/>
    <numFmt numFmtId="206" formatCode="0000000000"/>
    <numFmt numFmtId="207" formatCode="00000000"/>
    <numFmt numFmtId="208" formatCode="0000000"/>
    <numFmt numFmtId="209" formatCode="000000.0000"/>
    <numFmt numFmtId="210" formatCode="0.0000"/>
    <numFmt numFmtId="211" formatCode="#,##0.000000000"/>
    <numFmt numFmtId="212" formatCode="#,##0_р_."/>
    <numFmt numFmtId="213" formatCode="00000.0000"/>
    <numFmt numFmtId="214" formatCode="00000.00"/>
    <numFmt numFmtId="215" formatCode="000000.000"/>
    <numFmt numFmtId="216" formatCode="00000.000"/>
    <numFmt numFmtId="217" formatCode="#,##0.00&quot;р.&quot;"/>
    <numFmt numFmtId="218" formatCode="000000000"/>
  </numFmts>
  <fonts count="6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b/>
      <i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i/>
      <sz val="11"/>
      <name val="Times New Roman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0" fontId="8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9" fillId="0" borderId="0" xfId="0" applyFont="1" applyAlignment="1">
      <alignment/>
    </xf>
    <xf numFmtId="0" fontId="8" fillId="0" borderId="24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180" fontId="4" fillId="0" borderId="2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" fillId="0" borderId="22" xfId="0" applyNumberFormat="1" applyFont="1" applyBorder="1" applyAlignment="1">
      <alignment/>
    </xf>
    <xf numFmtId="183" fontId="4" fillId="0" borderId="22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1" fontId="4" fillId="0" borderId="2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6" fillId="0" borderId="20" xfId="0" applyFont="1" applyBorder="1" applyAlignment="1">
      <alignment/>
    </xf>
    <xf numFmtId="180" fontId="4" fillId="0" borderId="21" xfId="0" applyNumberFormat="1" applyFont="1" applyBorder="1" applyAlignment="1">
      <alignment/>
    </xf>
    <xf numFmtId="179" fontId="4" fillId="0" borderId="21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3" xfId="0" applyFont="1" applyBorder="1" applyAlignment="1">
      <alignment/>
    </xf>
    <xf numFmtId="17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2" xfId="0" applyFont="1" applyBorder="1" applyAlignment="1">
      <alignment/>
    </xf>
    <xf numFmtId="0" fontId="8" fillId="0" borderId="14" xfId="0" applyFont="1" applyBorder="1" applyAlignment="1">
      <alignment/>
    </xf>
    <xf numFmtId="3" fontId="6" fillId="0" borderId="0" xfId="0" applyNumberFormat="1" applyFont="1" applyAlignment="1">
      <alignment/>
    </xf>
    <xf numFmtId="0" fontId="13" fillId="0" borderId="0" xfId="0" applyFont="1" applyAlignment="1">
      <alignment/>
    </xf>
    <xf numFmtId="176" fontId="4" fillId="0" borderId="20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18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2" xfId="0" applyFont="1" applyBorder="1" applyAlignment="1">
      <alignment/>
    </xf>
    <xf numFmtId="0" fontId="8" fillId="0" borderId="23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8" fillId="0" borderId="11" xfId="0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4" xfId="0" applyFont="1" applyBorder="1" applyAlignment="1">
      <alignment/>
    </xf>
    <xf numFmtId="0" fontId="14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176" fontId="14" fillId="0" borderId="10" xfId="0" applyNumberFormat="1" applyFont="1" applyBorder="1" applyAlignment="1">
      <alignment/>
    </xf>
    <xf numFmtId="181" fontId="4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6" fillId="0" borderId="19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5" fillId="0" borderId="23" xfId="0" applyFont="1" applyBorder="1" applyAlignment="1">
      <alignment/>
    </xf>
    <xf numFmtId="176" fontId="5" fillId="0" borderId="23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1" xfId="0" applyFont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2" fillId="0" borderId="21" xfId="0" applyFont="1" applyBorder="1" applyAlignment="1">
      <alignment/>
    </xf>
    <xf numFmtId="176" fontId="4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16" xfId="0" applyFont="1" applyBorder="1" applyAlignment="1">
      <alignment/>
    </xf>
    <xf numFmtId="3" fontId="15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19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4" fontId="4" fillId="0" borderId="19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5" fillId="0" borderId="21" xfId="0" applyFont="1" applyBorder="1" applyAlignment="1">
      <alignment/>
    </xf>
    <xf numFmtId="0" fontId="0" fillId="0" borderId="19" xfId="0" applyBorder="1" applyAlignment="1">
      <alignment/>
    </xf>
    <xf numFmtId="0" fontId="14" fillId="0" borderId="18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10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3" fontId="14" fillId="0" borderId="10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7" xfId="0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9" xfId="0" applyNumberFormat="1" applyFont="1" applyBorder="1" applyAlignment="1">
      <alignment horizontal="center"/>
    </xf>
    <xf numFmtId="3" fontId="14" fillId="0" borderId="20" xfId="0" applyNumberFormat="1" applyFont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3" fontId="4" fillId="0" borderId="24" xfId="0" applyNumberFormat="1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NumberFormat="1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3" fontId="14" fillId="0" borderId="2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177" fontId="4" fillId="0" borderId="21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7" fontId="4" fillId="0" borderId="10" xfId="0" applyNumberFormat="1" applyFont="1" applyBorder="1" applyAlignment="1">
      <alignment/>
    </xf>
    <xf numFmtId="188" fontId="4" fillId="0" borderId="22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3" fontId="14" fillId="0" borderId="17" xfId="0" applyNumberFormat="1" applyFont="1" applyBorder="1" applyAlignment="1">
      <alignment horizontal="center"/>
    </xf>
    <xf numFmtId="3" fontId="14" fillId="0" borderId="15" xfId="0" applyNumberFormat="1" applyFont="1" applyBorder="1" applyAlignment="1">
      <alignment horizontal="center"/>
    </xf>
    <xf numFmtId="176" fontId="14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206" fontId="14" fillId="0" borderId="18" xfId="0" applyNumberFormat="1" applyFont="1" applyBorder="1" applyAlignment="1">
      <alignment horizontal="center"/>
    </xf>
    <xf numFmtId="206" fontId="14" fillId="0" borderId="20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190" fontId="14" fillId="0" borderId="24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4" fillId="0" borderId="23" xfId="0" applyFont="1" applyBorder="1" applyAlignment="1">
      <alignment horizontal="center"/>
    </xf>
    <xf numFmtId="190" fontId="14" fillId="0" borderId="23" xfId="0" applyNumberFormat="1" applyFont="1" applyBorder="1" applyAlignment="1">
      <alignment/>
    </xf>
    <xf numFmtId="176" fontId="14" fillId="0" borderId="2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1" fontId="15" fillId="0" borderId="11" xfId="0" applyNumberFormat="1" applyFont="1" applyBorder="1" applyAlignment="1">
      <alignment horizontal="center"/>
    </xf>
    <xf numFmtId="189" fontId="14" fillId="0" borderId="11" xfId="0" applyNumberFormat="1" applyFont="1" applyBorder="1" applyAlignment="1">
      <alignment/>
    </xf>
    <xf numFmtId="176" fontId="14" fillId="0" borderId="11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207" fontId="14" fillId="0" borderId="10" xfId="0" applyNumberFormat="1" applyFont="1" applyBorder="1" applyAlignment="1">
      <alignment horizontal="center"/>
    </xf>
    <xf numFmtId="189" fontId="14" fillId="0" borderId="10" xfId="0" applyNumberFormat="1" applyFont="1" applyBorder="1" applyAlignment="1">
      <alignment horizontal="center"/>
    </xf>
    <xf numFmtId="176" fontId="14" fillId="0" borderId="10" xfId="0" applyNumberFormat="1" applyFont="1" applyBorder="1" applyAlignment="1">
      <alignment horizontal="center"/>
    </xf>
    <xf numFmtId="206" fontId="14" fillId="0" borderId="10" xfId="0" applyNumberFormat="1" applyFont="1" applyBorder="1" applyAlignment="1">
      <alignment horizontal="center"/>
    </xf>
    <xf numFmtId="0" fontId="15" fillId="0" borderId="24" xfId="0" applyFont="1" applyBorder="1" applyAlignment="1">
      <alignment/>
    </xf>
    <xf numFmtId="176" fontId="15" fillId="0" borderId="24" xfId="0" applyNumberFormat="1" applyFont="1" applyBorder="1" applyAlignment="1">
      <alignment/>
    </xf>
    <xf numFmtId="202" fontId="18" fillId="0" borderId="10" xfId="0" applyNumberFormat="1" applyFont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89" fontId="14" fillId="0" borderId="24" xfId="0" applyNumberFormat="1" applyFont="1" applyBorder="1" applyAlignment="1">
      <alignment/>
    </xf>
    <xf numFmtId="176" fontId="14" fillId="0" borderId="24" xfId="0" applyNumberFormat="1" applyFont="1" applyBorder="1" applyAlignment="1">
      <alignment/>
    </xf>
    <xf numFmtId="1" fontId="14" fillId="0" borderId="23" xfId="0" applyNumberFormat="1" applyFont="1" applyBorder="1" applyAlignment="1">
      <alignment horizontal="center"/>
    </xf>
    <xf numFmtId="189" fontId="14" fillId="0" borderId="23" xfId="0" applyNumberFormat="1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1" xfId="0" applyFont="1" applyBorder="1" applyAlignment="1">
      <alignment/>
    </xf>
    <xf numFmtId="0" fontId="14" fillId="0" borderId="21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189" fontId="14" fillId="0" borderId="20" xfId="0" applyNumberFormat="1" applyFont="1" applyBorder="1" applyAlignment="1">
      <alignment horizontal="center"/>
    </xf>
    <xf numFmtId="176" fontId="14" fillId="0" borderId="20" xfId="0" applyNumberFormat="1" applyFont="1" applyBorder="1" applyAlignment="1">
      <alignment horizontal="center"/>
    </xf>
    <xf numFmtId="190" fontId="14" fillId="0" borderId="20" xfId="0" applyNumberFormat="1" applyFont="1" applyBorder="1" applyAlignment="1">
      <alignment horizontal="center"/>
    </xf>
    <xf numFmtId="183" fontId="14" fillId="0" borderId="20" xfId="0" applyNumberFormat="1" applyFont="1" applyBorder="1" applyAlignment="1">
      <alignment horizontal="center"/>
    </xf>
    <xf numFmtId="209" fontId="14" fillId="0" borderId="10" xfId="0" applyNumberFormat="1" applyFont="1" applyBorder="1" applyAlignment="1">
      <alignment horizontal="center"/>
    </xf>
    <xf numFmtId="183" fontId="14" fillId="0" borderId="10" xfId="0" applyNumberFormat="1" applyFont="1" applyBorder="1" applyAlignment="1">
      <alignment horizontal="center"/>
    </xf>
    <xf numFmtId="186" fontId="14" fillId="0" borderId="10" xfId="0" applyNumberFormat="1" applyFont="1" applyBorder="1" applyAlignment="1">
      <alignment horizontal="center"/>
    </xf>
    <xf numFmtId="176" fontId="14" fillId="0" borderId="18" xfId="0" applyNumberFormat="1" applyFont="1" applyBorder="1" applyAlignment="1">
      <alignment horizontal="center"/>
    </xf>
    <xf numFmtId="190" fontId="14" fillId="0" borderId="18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/>
    </xf>
    <xf numFmtId="181" fontId="14" fillId="0" borderId="0" xfId="0" applyNumberFormat="1" applyFont="1" applyBorder="1" applyAlignment="1">
      <alignment/>
    </xf>
    <xf numFmtId="179" fontId="14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185" fontId="14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5" fillId="0" borderId="0" xfId="0" applyNumberFormat="1" applyFont="1" applyBorder="1" applyAlignment="1">
      <alignment/>
    </xf>
    <xf numFmtId="0" fontId="13" fillId="0" borderId="24" xfId="0" applyFont="1" applyBorder="1" applyAlignment="1">
      <alignment/>
    </xf>
    <xf numFmtId="3" fontId="13" fillId="0" borderId="24" xfId="0" applyNumberFormat="1" applyFont="1" applyBorder="1" applyAlignment="1">
      <alignment/>
    </xf>
    <xf numFmtId="180" fontId="14" fillId="0" borderId="22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179" fontId="14" fillId="0" borderId="23" xfId="0" applyNumberFormat="1" applyFont="1" applyBorder="1" applyAlignment="1">
      <alignment/>
    </xf>
    <xf numFmtId="181" fontId="14" fillId="0" borderId="13" xfId="0" applyNumberFormat="1" applyFont="1" applyBorder="1" applyAlignment="1">
      <alignment/>
    </xf>
    <xf numFmtId="181" fontId="14" fillId="0" borderId="17" xfId="0" applyNumberFormat="1" applyFont="1" applyBorder="1" applyAlignment="1">
      <alignment/>
    </xf>
    <xf numFmtId="210" fontId="14" fillId="0" borderId="10" xfId="0" applyNumberFormat="1" applyFont="1" applyBorder="1" applyAlignment="1">
      <alignment horizontal="center"/>
    </xf>
    <xf numFmtId="185" fontId="14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23" xfId="0" applyFont="1" applyBorder="1" applyAlignment="1">
      <alignment/>
    </xf>
    <xf numFmtId="197" fontId="18" fillId="0" borderId="21" xfId="0" applyNumberFormat="1" applyFont="1" applyBorder="1" applyAlignment="1">
      <alignment horizontal="center"/>
    </xf>
    <xf numFmtId="183" fontId="14" fillId="0" borderId="18" xfId="0" applyNumberFormat="1" applyFont="1" applyBorder="1" applyAlignment="1">
      <alignment horizontal="center"/>
    </xf>
    <xf numFmtId="182" fontId="14" fillId="0" borderId="18" xfId="0" applyNumberFormat="1" applyFont="1" applyBorder="1" applyAlignment="1">
      <alignment/>
    </xf>
    <xf numFmtId="182" fontId="14" fillId="0" borderId="20" xfId="0" applyNumberFormat="1" applyFont="1" applyBorder="1" applyAlignment="1">
      <alignment/>
    </xf>
    <xf numFmtId="180" fontId="14" fillId="0" borderId="10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189" fontId="14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0" fontId="18" fillId="0" borderId="24" xfId="0" applyFont="1" applyBorder="1" applyAlignment="1">
      <alignment/>
    </xf>
    <xf numFmtId="4" fontId="14" fillId="0" borderId="0" xfId="0" applyNumberFormat="1" applyFont="1" applyAlignment="1">
      <alignment/>
    </xf>
    <xf numFmtId="211" fontId="14" fillId="0" borderId="0" xfId="0" applyNumberFormat="1" applyFont="1" applyAlignment="1">
      <alignment/>
    </xf>
    <xf numFmtId="0" fontId="15" fillId="0" borderId="21" xfId="0" applyFont="1" applyBorder="1" applyAlignment="1">
      <alignment/>
    </xf>
    <xf numFmtId="3" fontId="14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212" fontId="14" fillId="0" borderId="2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80" fontId="14" fillId="0" borderId="20" xfId="0" applyNumberFormat="1" applyFont="1" applyBorder="1" applyAlignment="1">
      <alignment horizontal="center"/>
    </xf>
    <xf numFmtId="181" fontId="14" fillId="0" borderId="10" xfId="0" applyNumberFormat="1" applyFont="1" applyBorder="1" applyAlignment="1">
      <alignment horizontal="center"/>
    </xf>
    <xf numFmtId="3" fontId="14" fillId="0" borderId="22" xfId="0" applyNumberFormat="1" applyFont="1" applyBorder="1" applyAlignment="1">
      <alignment horizontal="center"/>
    </xf>
    <xf numFmtId="194" fontId="13" fillId="0" borderId="10" xfId="0" applyNumberFormat="1" applyFont="1" applyBorder="1" applyAlignment="1">
      <alignment horizontal="center"/>
    </xf>
    <xf numFmtId="183" fontId="14" fillId="0" borderId="22" xfId="0" applyNumberFormat="1" applyFont="1" applyBorder="1" applyAlignment="1">
      <alignment horizontal="center"/>
    </xf>
    <xf numFmtId="179" fontId="14" fillId="0" borderId="10" xfId="0" applyNumberFormat="1" applyFont="1" applyBorder="1" applyAlignment="1">
      <alignment horizontal="center"/>
    </xf>
    <xf numFmtId="181" fontId="14" fillId="0" borderId="18" xfId="0" applyNumberFormat="1" applyFont="1" applyBorder="1" applyAlignment="1">
      <alignment horizontal="center"/>
    </xf>
    <xf numFmtId="194" fontId="14" fillId="0" borderId="21" xfId="0" applyNumberFormat="1" applyFont="1" applyBorder="1" applyAlignment="1">
      <alignment horizontal="center"/>
    </xf>
    <xf numFmtId="194" fontId="14" fillId="0" borderId="10" xfId="0" applyNumberFormat="1" applyFont="1" applyBorder="1" applyAlignment="1">
      <alignment horizontal="center"/>
    </xf>
    <xf numFmtId="180" fontId="14" fillId="0" borderId="21" xfId="0" applyNumberFormat="1" applyFont="1" applyBorder="1" applyAlignment="1">
      <alignment horizontal="center"/>
    </xf>
    <xf numFmtId="184" fontId="14" fillId="0" borderId="21" xfId="0" applyNumberFormat="1" applyFont="1" applyBorder="1" applyAlignment="1">
      <alignment horizontal="center"/>
    </xf>
    <xf numFmtId="196" fontId="18" fillId="0" borderId="21" xfId="0" applyNumberFormat="1" applyFont="1" applyBorder="1" applyAlignment="1">
      <alignment horizontal="center"/>
    </xf>
    <xf numFmtId="182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96" fontId="14" fillId="0" borderId="21" xfId="0" applyNumberFormat="1" applyFont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181" fontId="14" fillId="0" borderId="20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188" fontId="14" fillId="0" borderId="22" xfId="0" applyNumberFormat="1" applyFont="1" applyBorder="1" applyAlignment="1">
      <alignment horizontal="center"/>
    </xf>
    <xf numFmtId="181" fontId="14" fillId="0" borderId="21" xfId="0" applyNumberFormat="1" applyFont="1" applyBorder="1" applyAlignment="1">
      <alignment horizontal="center"/>
    </xf>
    <xf numFmtId="179" fontId="14" fillId="0" borderId="21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213" fontId="14" fillId="0" borderId="10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207" fontId="14" fillId="0" borderId="22" xfId="0" applyNumberFormat="1" applyFont="1" applyBorder="1" applyAlignment="1">
      <alignment horizontal="center"/>
    </xf>
    <xf numFmtId="206" fontId="14" fillId="0" borderId="22" xfId="0" applyNumberFormat="1" applyFont="1" applyBorder="1" applyAlignment="1">
      <alignment horizontal="center"/>
    </xf>
    <xf numFmtId="190" fontId="14" fillId="0" borderId="10" xfId="0" applyNumberFormat="1" applyFont="1" applyBorder="1" applyAlignment="1">
      <alignment horizontal="center"/>
    </xf>
    <xf numFmtId="0" fontId="15" fillId="0" borderId="19" xfId="0" applyFont="1" applyBorder="1" applyAlignment="1">
      <alignment/>
    </xf>
    <xf numFmtId="0" fontId="15" fillId="0" borderId="16" xfId="0" applyFont="1" applyBorder="1" applyAlignment="1">
      <alignment/>
    </xf>
    <xf numFmtId="0" fontId="14" fillId="0" borderId="22" xfId="0" applyFont="1" applyBorder="1" applyAlignment="1">
      <alignment horizontal="center"/>
    </xf>
    <xf numFmtId="208" fontId="14" fillId="0" borderId="22" xfId="0" applyNumberFormat="1" applyFont="1" applyBorder="1" applyAlignment="1">
      <alignment horizontal="center"/>
    </xf>
    <xf numFmtId="202" fontId="18" fillId="0" borderId="22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189" fontId="15" fillId="0" borderId="0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202" fontId="18" fillId="0" borderId="0" xfId="0" applyNumberFormat="1" applyFont="1" applyBorder="1" applyAlignment="1">
      <alignment horizontal="center"/>
    </xf>
    <xf numFmtId="189" fontId="14" fillId="0" borderId="0" xfId="0" applyNumberFormat="1" applyFont="1" applyBorder="1" applyAlignment="1">
      <alignment horizontal="center"/>
    </xf>
    <xf numFmtId="176" fontId="14" fillId="0" borderId="0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6" fontId="14" fillId="0" borderId="18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214" fontId="14" fillId="0" borderId="18" xfId="0" applyNumberFormat="1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209" fontId="14" fillId="0" borderId="20" xfId="0" applyNumberFormat="1" applyFont="1" applyBorder="1" applyAlignment="1">
      <alignment horizontal="center"/>
    </xf>
    <xf numFmtId="210" fontId="14" fillId="0" borderId="20" xfId="0" applyNumberFormat="1" applyFont="1" applyBorder="1" applyAlignment="1">
      <alignment horizontal="center"/>
    </xf>
    <xf numFmtId="213" fontId="14" fillId="0" borderId="18" xfId="0" applyNumberFormat="1" applyFont="1" applyBorder="1" applyAlignment="1">
      <alignment horizontal="center"/>
    </xf>
    <xf numFmtId="210" fontId="14" fillId="0" borderId="18" xfId="0" applyNumberFormat="1" applyFont="1" applyBorder="1" applyAlignment="1">
      <alignment horizontal="center"/>
    </xf>
    <xf numFmtId="191" fontId="14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4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18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7" fillId="0" borderId="20" xfId="0" applyFont="1" applyBorder="1" applyAlignment="1">
      <alignment/>
    </xf>
    <xf numFmtId="0" fontId="17" fillId="0" borderId="10" xfId="0" applyFont="1" applyBorder="1" applyAlignment="1">
      <alignment/>
    </xf>
    <xf numFmtId="0" fontId="25" fillId="0" borderId="10" xfId="0" applyFont="1" applyBorder="1" applyAlignment="1">
      <alignment/>
    </xf>
    <xf numFmtId="1" fontId="17" fillId="0" borderId="10" xfId="0" applyNumberFormat="1" applyFont="1" applyBorder="1" applyAlignment="1">
      <alignment horizontal="center"/>
    </xf>
    <xf numFmtId="189" fontId="17" fillId="0" borderId="10" xfId="0" applyNumberFormat="1" applyFont="1" applyBorder="1" applyAlignment="1">
      <alignment/>
    </xf>
    <xf numFmtId="176" fontId="17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183" fontId="25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189" fontId="17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189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202" fontId="17" fillId="0" borderId="10" xfId="0" applyNumberFormat="1" applyFont="1" applyBorder="1" applyAlignment="1">
      <alignment horizontal="center"/>
    </xf>
    <xf numFmtId="205" fontId="17" fillId="0" borderId="10" xfId="0" applyNumberFormat="1" applyFont="1" applyBorder="1" applyAlignment="1">
      <alignment horizontal="center"/>
    </xf>
    <xf numFmtId="176" fontId="17" fillId="0" borderId="10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horizontal="center"/>
    </xf>
    <xf numFmtId="199" fontId="17" fillId="0" borderId="10" xfId="0" applyNumberFormat="1" applyFont="1" applyBorder="1" applyAlignment="1">
      <alignment horizontal="center"/>
    </xf>
    <xf numFmtId="186" fontId="17" fillId="0" borderId="1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176" fontId="17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89" fontId="17" fillId="0" borderId="0" xfId="0" applyNumberFormat="1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186" fontId="17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17" fontId="14" fillId="0" borderId="0" xfId="0" applyNumberFormat="1" applyFont="1" applyAlignment="1">
      <alignment horizontal="center"/>
    </xf>
    <xf numFmtId="206" fontId="14" fillId="0" borderId="24" xfId="0" applyNumberFormat="1" applyFont="1" applyBorder="1" applyAlignment="1">
      <alignment horizontal="center"/>
    </xf>
    <xf numFmtId="209" fontId="14" fillId="0" borderId="24" xfId="0" applyNumberFormat="1" applyFont="1" applyBorder="1" applyAlignment="1">
      <alignment horizontal="center"/>
    </xf>
    <xf numFmtId="3" fontId="14" fillId="0" borderId="24" xfId="0" applyNumberFormat="1" applyFont="1" applyBorder="1" applyAlignment="1">
      <alignment horizontal="center"/>
    </xf>
    <xf numFmtId="210" fontId="14" fillId="0" borderId="24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191" fontId="14" fillId="0" borderId="10" xfId="0" applyNumberFormat="1" applyFont="1" applyBorder="1" applyAlignment="1">
      <alignment horizontal="center"/>
    </xf>
    <xf numFmtId="218" fontId="18" fillId="0" borderId="10" xfId="0" applyNumberFormat="1" applyFont="1" applyBorder="1" applyAlignment="1">
      <alignment horizontal="center"/>
    </xf>
    <xf numFmtId="213" fontId="14" fillId="0" borderId="13" xfId="0" applyNumberFormat="1" applyFont="1" applyBorder="1" applyAlignment="1">
      <alignment horizontal="center"/>
    </xf>
    <xf numFmtId="190" fontId="14" fillId="0" borderId="15" xfId="0" applyNumberFormat="1" applyFont="1" applyBorder="1" applyAlignment="1">
      <alignment horizontal="center"/>
    </xf>
    <xf numFmtId="188" fontId="4" fillId="0" borderId="0" xfId="0" applyNumberFormat="1" applyFont="1" applyAlignment="1">
      <alignment horizontal="center"/>
    </xf>
    <xf numFmtId="3" fontId="62" fillId="0" borderId="22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37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5.625" style="0" customWidth="1"/>
    <col min="2" max="2" width="37.625" style="0" customWidth="1"/>
    <col min="3" max="3" width="14.875" style="0" customWidth="1"/>
    <col min="4" max="4" width="13.25390625" style="0" customWidth="1"/>
    <col min="5" max="5" width="12.625" style="0" customWidth="1"/>
    <col min="6" max="6" width="9.375" style="0" customWidth="1"/>
    <col min="7" max="7" width="10.375" style="0" customWidth="1"/>
    <col min="8" max="8" width="7.125" style="0" customWidth="1"/>
    <col min="9" max="9" width="12.25390625" style="0" customWidth="1"/>
    <col min="10" max="10" width="5.625" style="0" customWidth="1"/>
    <col min="11" max="11" width="36.75390625" style="0" customWidth="1"/>
    <col min="12" max="12" width="14.875" style="0" customWidth="1"/>
    <col min="13" max="13" width="13.25390625" style="0" customWidth="1"/>
    <col min="14" max="14" width="12.375" style="0" customWidth="1"/>
    <col min="15" max="15" width="9.375" style="0" customWidth="1"/>
    <col min="16" max="16" width="10.375" style="0" customWidth="1"/>
    <col min="18" max="18" width="12.375" style="0" customWidth="1"/>
    <col min="19" max="19" width="6.75390625" style="0" customWidth="1"/>
    <col min="20" max="20" width="12.375" style="0" customWidth="1"/>
    <col min="21" max="21" width="10.25390625" style="0" customWidth="1"/>
    <col min="22" max="22" width="25.25390625" style="0" customWidth="1"/>
    <col min="23" max="23" width="13.625" style="0" customWidth="1"/>
    <col min="24" max="24" width="14.625" style="0" customWidth="1"/>
    <col min="25" max="25" width="13.125" style="0" customWidth="1"/>
    <col min="26" max="26" width="13.25390625" style="0" customWidth="1"/>
    <col min="27" max="27" width="11.625" style="0" customWidth="1"/>
    <col min="28" max="28" width="7.75390625" style="0" customWidth="1"/>
    <col min="31" max="31" width="38.00390625" style="0" customWidth="1"/>
    <col min="32" max="32" width="11.25390625" style="0" customWidth="1"/>
    <col min="33" max="33" width="11.625" style="0" customWidth="1"/>
    <col min="34" max="34" width="11.75390625" style="0" customWidth="1"/>
    <col min="35" max="35" width="12.75390625" style="0" customWidth="1"/>
    <col min="36" max="36" width="12.00390625" style="0" customWidth="1"/>
    <col min="37" max="37" width="6.375" style="0" customWidth="1"/>
    <col min="40" max="40" width="31.625" style="0" customWidth="1"/>
    <col min="41" max="41" width="13.125" style="0" customWidth="1"/>
    <col min="42" max="42" width="12.75390625" style="0" customWidth="1"/>
    <col min="43" max="43" width="12.00390625" style="0" customWidth="1"/>
    <col min="44" max="44" width="12.875" style="0" customWidth="1"/>
    <col min="45" max="45" width="12.375" style="0" customWidth="1"/>
    <col min="51" max="51" width="31.125" style="0" customWidth="1"/>
    <col min="52" max="52" width="13.375" style="0" customWidth="1"/>
    <col min="53" max="53" width="13.125" style="0" customWidth="1"/>
    <col min="54" max="54" width="14.375" style="0" customWidth="1"/>
    <col min="56" max="56" width="11.125" style="0" customWidth="1"/>
    <col min="59" max="59" width="17.75390625" style="0" customWidth="1"/>
    <col min="60" max="60" width="22.375" style="0" customWidth="1"/>
    <col min="61" max="61" width="14.875" style="0" customWidth="1"/>
    <col min="62" max="62" width="12.25390625" style="0" customWidth="1"/>
    <col min="63" max="63" width="11.75390625" style="0" customWidth="1"/>
    <col min="64" max="64" width="10.00390625" style="0" customWidth="1"/>
    <col min="68" max="68" width="6.75390625" style="0" customWidth="1"/>
    <col min="69" max="69" width="10.625" style="0" customWidth="1"/>
    <col min="78" max="78" width="11.625" style="0" customWidth="1"/>
    <col min="84" max="84" width="10.375" style="0" customWidth="1"/>
  </cols>
  <sheetData>
    <row r="1" spans="1:54" ht="12.7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60"/>
      <c r="T1" s="160"/>
      <c r="U1" s="160"/>
      <c r="V1" s="160"/>
      <c r="W1" s="160"/>
      <c r="X1" s="160"/>
      <c r="Y1" s="160"/>
      <c r="Z1" s="160"/>
      <c r="AA1" s="16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60"/>
      <c r="AU1" s="120"/>
      <c r="AV1" s="120"/>
      <c r="AW1" s="120"/>
      <c r="AX1" s="120"/>
      <c r="AY1" s="120"/>
      <c r="AZ1" s="120"/>
      <c r="BA1" s="120"/>
      <c r="BB1" s="120"/>
    </row>
    <row r="2" spans="1:54" ht="12.75">
      <c r="A2" s="120"/>
      <c r="B2" s="120"/>
      <c r="C2" s="120"/>
      <c r="D2" s="120" t="s">
        <v>192</v>
      </c>
      <c r="E2" s="120"/>
      <c r="F2" s="120"/>
      <c r="G2" s="120"/>
      <c r="H2" s="120"/>
      <c r="I2" s="120"/>
      <c r="J2" s="120"/>
      <c r="K2" s="120"/>
      <c r="L2" s="120"/>
      <c r="M2" s="120" t="s">
        <v>288</v>
      </c>
      <c r="N2" s="120"/>
      <c r="O2" s="120"/>
      <c r="P2" s="120"/>
      <c r="Q2" s="120"/>
      <c r="R2" s="120"/>
      <c r="S2" s="160"/>
      <c r="T2" s="160"/>
      <c r="U2" s="160"/>
      <c r="V2" s="160"/>
      <c r="W2" s="160"/>
      <c r="X2" s="160"/>
      <c r="Y2" s="160"/>
      <c r="Z2" s="160"/>
      <c r="AA2" s="160"/>
      <c r="AB2" s="120" t="s">
        <v>325</v>
      </c>
      <c r="AC2" s="120"/>
      <c r="AD2" s="120"/>
      <c r="AE2" s="120"/>
      <c r="AF2" s="120"/>
      <c r="AG2" s="120"/>
      <c r="AH2" s="120"/>
      <c r="AI2" s="120"/>
      <c r="AJ2" s="120"/>
      <c r="AK2" s="120" t="s">
        <v>325</v>
      </c>
      <c r="AL2" s="120"/>
      <c r="AM2" s="120"/>
      <c r="AN2" s="120"/>
      <c r="AO2" s="120"/>
      <c r="AP2" s="120"/>
      <c r="AQ2" s="120"/>
      <c r="AR2" s="120"/>
      <c r="AS2" s="120"/>
      <c r="AT2" s="160" t="s">
        <v>530</v>
      </c>
      <c r="AU2" s="120"/>
      <c r="AV2" s="120"/>
      <c r="AW2" s="120"/>
      <c r="AX2" s="120"/>
      <c r="AY2" s="120"/>
      <c r="AZ2" s="120"/>
      <c r="BA2" s="120"/>
      <c r="BB2" s="120"/>
    </row>
    <row r="3" spans="1:67" ht="12.75">
      <c r="A3" s="120"/>
      <c r="B3" s="120"/>
      <c r="C3" s="120"/>
      <c r="D3" s="120" t="s">
        <v>193</v>
      </c>
      <c r="E3" s="120"/>
      <c r="F3" s="120"/>
      <c r="G3" s="120"/>
      <c r="H3" s="120"/>
      <c r="I3" s="120"/>
      <c r="J3" s="120"/>
      <c r="K3" s="120"/>
      <c r="L3" s="120"/>
      <c r="M3" s="120" t="s">
        <v>289</v>
      </c>
      <c r="N3" s="120"/>
      <c r="O3" s="120"/>
      <c r="P3" s="120"/>
      <c r="Q3" s="120"/>
      <c r="R3" s="120"/>
      <c r="S3" s="120" t="s">
        <v>325</v>
      </c>
      <c r="T3" s="120"/>
      <c r="U3" s="120"/>
      <c r="V3" s="120"/>
      <c r="W3" s="120"/>
      <c r="X3" s="120"/>
      <c r="Y3" s="120"/>
      <c r="Z3" s="120"/>
      <c r="AA3" s="120"/>
      <c r="AB3" s="120" t="s">
        <v>324</v>
      </c>
      <c r="AC3" s="120"/>
      <c r="AD3" s="120"/>
      <c r="AE3" s="120"/>
      <c r="AF3" s="120"/>
      <c r="AG3" s="120"/>
      <c r="AH3" s="120"/>
      <c r="AI3" s="120"/>
      <c r="AJ3" s="120"/>
      <c r="AK3" s="120" t="s">
        <v>324</v>
      </c>
      <c r="AL3" s="120"/>
      <c r="AM3" s="120"/>
      <c r="AN3" s="120"/>
      <c r="AO3" s="120"/>
      <c r="AP3" s="120"/>
      <c r="AQ3" s="120"/>
      <c r="AR3" s="120"/>
      <c r="AS3" s="120"/>
      <c r="AT3" s="160" t="s">
        <v>532</v>
      </c>
      <c r="AU3" s="120"/>
      <c r="AV3" s="120"/>
      <c r="AW3" s="120"/>
      <c r="AX3" s="120"/>
      <c r="AY3" s="120"/>
      <c r="AZ3" s="120"/>
      <c r="BA3" s="120"/>
      <c r="BB3" s="120"/>
      <c r="BG3" s="143" t="s">
        <v>335</v>
      </c>
      <c r="BH3" s="171" t="s">
        <v>199</v>
      </c>
      <c r="BI3" s="143" t="s">
        <v>200</v>
      </c>
      <c r="BJ3" s="224" t="s">
        <v>286</v>
      </c>
      <c r="BK3" s="225"/>
      <c r="BL3" s="143" t="s">
        <v>201</v>
      </c>
      <c r="BM3" s="143" t="s">
        <v>404</v>
      </c>
      <c r="BN3" s="143" t="s">
        <v>202</v>
      </c>
      <c r="BO3" s="143" t="s">
        <v>191</v>
      </c>
    </row>
    <row r="4" spans="1:67" ht="13.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 t="s">
        <v>324</v>
      </c>
      <c r="T4" s="120"/>
      <c r="U4" s="120"/>
      <c r="V4" s="120"/>
      <c r="W4" s="120"/>
      <c r="X4" s="120"/>
      <c r="Y4" s="120"/>
      <c r="Z4" s="120"/>
      <c r="AA4" s="120"/>
      <c r="AB4" s="120" t="s">
        <v>326</v>
      </c>
      <c r="AC4" s="120"/>
      <c r="AD4" s="120"/>
      <c r="AE4" s="120"/>
      <c r="AF4" s="120"/>
      <c r="AG4" s="120"/>
      <c r="AH4" s="120"/>
      <c r="AI4" s="120"/>
      <c r="AJ4" s="120"/>
      <c r="AK4" s="120" t="s">
        <v>326</v>
      </c>
      <c r="AL4" s="120"/>
      <c r="AM4" s="120"/>
      <c r="AN4" s="120"/>
      <c r="AO4" s="120"/>
      <c r="AP4" s="120"/>
      <c r="AQ4" s="120"/>
      <c r="AR4" s="120"/>
      <c r="AS4" s="120"/>
      <c r="AT4" s="160"/>
      <c r="AU4" s="120" t="s">
        <v>400</v>
      </c>
      <c r="AV4" s="120"/>
      <c r="AW4" s="120"/>
      <c r="AX4" s="120"/>
      <c r="AY4" s="254" t="s">
        <v>483</v>
      </c>
      <c r="AZ4" s="254" t="s">
        <v>555</v>
      </c>
      <c r="BA4" s="120"/>
      <c r="BB4" s="120"/>
      <c r="BG4" s="173"/>
      <c r="BH4" s="173"/>
      <c r="BI4" s="173"/>
      <c r="BJ4" s="143" t="s">
        <v>203</v>
      </c>
      <c r="BK4" s="145" t="s">
        <v>204</v>
      </c>
      <c r="BL4" s="173" t="s">
        <v>205</v>
      </c>
      <c r="BM4" s="173" t="s">
        <v>190</v>
      </c>
      <c r="BN4" s="173"/>
      <c r="BO4" s="173" t="s">
        <v>206</v>
      </c>
    </row>
    <row r="5" spans="1:67" ht="12.75">
      <c r="A5" s="120"/>
      <c r="B5" s="120"/>
      <c r="C5" s="120" t="s">
        <v>194</v>
      </c>
      <c r="D5" s="120"/>
      <c r="E5" s="120"/>
      <c r="F5" s="120"/>
      <c r="G5" s="120"/>
      <c r="H5" s="120"/>
      <c r="I5" s="120"/>
      <c r="J5" s="120"/>
      <c r="K5" s="120"/>
      <c r="L5" s="120" t="s">
        <v>194</v>
      </c>
      <c r="M5" s="120"/>
      <c r="N5" s="120"/>
      <c r="O5" s="120"/>
      <c r="P5" s="120"/>
      <c r="Q5" s="120"/>
      <c r="R5" s="120"/>
      <c r="S5" s="120" t="s">
        <v>326</v>
      </c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45"/>
      <c r="AU5" s="146" t="s">
        <v>405</v>
      </c>
      <c r="AV5" s="146"/>
      <c r="AW5" s="146"/>
      <c r="AX5" s="146"/>
      <c r="AY5" s="146"/>
      <c r="AZ5" s="145" t="s">
        <v>406</v>
      </c>
      <c r="BA5" s="145" t="s">
        <v>407</v>
      </c>
      <c r="BB5" s="143" t="s">
        <v>364</v>
      </c>
      <c r="BG5" s="144"/>
      <c r="BH5" s="144"/>
      <c r="BI5" s="144"/>
      <c r="BJ5" s="144" t="s">
        <v>207</v>
      </c>
      <c r="BK5" s="103" t="s">
        <v>207</v>
      </c>
      <c r="BL5" s="144" t="s">
        <v>208</v>
      </c>
      <c r="BM5" s="144"/>
      <c r="BN5" s="144"/>
      <c r="BO5" s="144"/>
    </row>
    <row r="6" spans="1:67" ht="12.75">
      <c r="A6" s="120"/>
      <c r="B6" s="120"/>
      <c r="C6" s="120"/>
      <c r="D6" s="277" t="s">
        <v>553</v>
      </c>
      <c r="E6" s="277"/>
      <c r="F6" s="120"/>
      <c r="G6" s="120"/>
      <c r="H6" s="120"/>
      <c r="I6" s="120"/>
      <c r="J6" s="120"/>
      <c r="K6" s="120"/>
      <c r="L6" s="120"/>
      <c r="M6" s="277" t="s">
        <v>553</v>
      </c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59"/>
      <c r="AU6" s="160"/>
      <c r="AV6" s="160"/>
      <c r="AW6" s="160"/>
      <c r="AX6" s="160"/>
      <c r="AY6" s="160"/>
      <c r="AZ6" s="159" t="s">
        <v>413</v>
      </c>
      <c r="BA6" s="159" t="s">
        <v>177</v>
      </c>
      <c r="BB6" s="173" t="s">
        <v>80</v>
      </c>
      <c r="BG6" s="152">
        <v>1</v>
      </c>
      <c r="BH6" s="152">
        <v>2</v>
      </c>
      <c r="BI6" s="152">
        <v>3</v>
      </c>
      <c r="BJ6" s="152">
        <v>4</v>
      </c>
      <c r="BK6" s="152">
        <v>5</v>
      </c>
      <c r="BL6" s="152">
        <v>6</v>
      </c>
      <c r="BM6" s="152">
        <v>7</v>
      </c>
      <c r="BN6" s="152">
        <v>8</v>
      </c>
      <c r="BO6" s="152">
        <v>9</v>
      </c>
    </row>
    <row r="7" spans="1:67" ht="12.75">
      <c r="A7" s="120" t="s">
        <v>528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59"/>
      <c r="AU7" s="160"/>
      <c r="AV7" s="160"/>
      <c r="AW7" s="160"/>
      <c r="AX7" s="160"/>
      <c r="AY7" s="160"/>
      <c r="AZ7" s="103" t="s">
        <v>178</v>
      </c>
      <c r="BA7" s="103"/>
      <c r="BB7" s="144" t="s">
        <v>81</v>
      </c>
      <c r="BG7" s="75" t="s">
        <v>590</v>
      </c>
      <c r="BH7" s="75" t="s">
        <v>599</v>
      </c>
      <c r="BI7" s="382"/>
      <c r="BJ7" s="383">
        <v>42161.26</v>
      </c>
      <c r="BK7" s="383">
        <v>42208.79</v>
      </c>
      <c r="BL7" s="384">
        <v>1800</v>
      </c>
      <c r="BM7" s="383">
        <f aca="true" t="shared" si="0" ref="BM7:BM15">BK7-BJ7</f>
        <v>47.529999999998836</v>
      </c>
      <c r="BN7" s="382"/>
      <c r="BO7" s="155">
        <f aca="true" t="shared" si="1" ref="BO7:BO15">ROUND(BL7*BM7+BN7,0)</f>
        <v>85554</v>
      </c>
    </row>
    <row r="8" spans="1:67" ht="12.75">
      <c r="A8" s="120" t="s">
        <v>196</v>
      </c>
      <c r="B8" s="120"/>
      <c r="C8" s="120"/>
      <c r="D8" s="120"/>
      <c r="E8" s="120"/>
      <c r="F8" s="120"/>
      <c r="G8" s="120"/>
      <c r="H8" s="120"/>
      <c r="I8" s="120"/>
      <c r="J8" s="120" t="s">
        <v>528</v>
      </c>
      <c r="K8" s="120"/>
      <c r="L8" s="120"/>
      <c r="M8" s="120"/>
      <c r="N8" s="120"/>
      <c r="O8" s="120"/>
      <c r="P8" s="120"/>
      <c r="Q8" s="120"/>
      <c r="R8" s="120"/>
      <c r="S8" s="120" t="s">
        <v>357</v>
      </c>
      <c r="T8" s="120"/>
      <c r="U8" s="120"/>
      <c r="V8" s="120"/>
      <c r="W8" s="120"/>
      <c r="X8" s="120"/>
      <c r="Y8" s="120"/>
      <c r="Z8" s="120"/>
      <c r="AA8" s="120"/>
      <c r="AB8" s="120" t="s">
        <v>357</v>
      </c>
      <c r="AC8" s="120"/>
      <c r="AD8" s="120"/>
      <c r="AE8" s="120"/>
      <c r="AF8" s="120"/>
      <c r="AG8" s="120"/>
      <c r="AH8" s="120"/>
      <c r="AI8" s="120"/>
      <c r="AJ8" s="120"/>
      <c r="AK8" s="120" t="s">
        <v>357</v>
      </c>
      <c r="AL8" s="120"/>
      <c r="AM8" s="120"/>
      <c r="AN8" s="120"/>
      <c r="AO8" s="120"/>
      <c r="AP8" s="120"/>
      <c r="AQ8" s="120"/>
      <c r="AR8" s="120"/>
      <c r="AS8" s="120"/>
      <c r="AT8" s="145" t="s">
        <v>45</v>
      </c>
      <c r="AU8" s="146"/>
      <c r="AV8" s="146"/>
      <c r="AW8" s="146"/>
      <c r="AX8" s="146"/>
      <c r="AY8" s="147"/>
      <c r="AZ8" s="187">
        <f>I16+I17+I20+I22+I77</f>
        <v>12693684.399999984</v>
      </c>
      <c r="BA8" s="278"/>
      <c r="BB8" s="279">
        <f>BB9+BB14</f>
        <v>19984360.546098</v>
      </c>
      <c r="BG8" s="152" t="s">
        <v>591</v>
      </c>
      <c r="BH8" s="75" t="s">
        <v>599</v>
      </c>
      <c r="BI8" s="152"/>
      <c r="BJ8" s="375">
        <f aca="true" t="shared" si="2" ref="BJ8:BJ15">BK7</f>
        <v>42208.79</v>
      </c>
      <c r="BK8" s="375">
        <v>42252.65</v>
      </c>
      <c r="BL8" s="384">
        <v>1800</v>
      </c>
      <c r="BM8" s="383">
        <f t="shared" si="0"/>
        <v>43.86000000000058</v>
      </c>
      <c r="BN8" s="152"/>
      <c r="BO8" s="155">
        <f t="shared" si="1"/>
        <v>78948</v>
      </c>
    </row>
    <row r="9" spans="1:67" ht="12.75">
      <c r="A9" s="120" t="s">
        <v>198</v>
      </c>
      <c r="B9" s="120"/>
      <c r="C9" s="120"/>
      <c r="D9" s="120"/>
      <c r="E9" s="120"/>
      <c r="F9" s="120" t="s">
        <v>197</v>
      </c>
      <c r="G9" s="120"/>
      <c r="H9" s="120"/>
      <c r="I9" s="120"/>
      <c r="J9" s="120" t="s">
        <v>196</v>
      </c>
      <c r="K9" s="120"/>
      <c r="L9" s="120"/>
      <c r="M9" s="120"/>
      <c r="N9" s="120"/>
      <c r="O9" s="120" t="s">
        <v>197</v>
      </c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255" t="s">
        <v>383</v>
      </c>
      <c r="AU9" s="256"/>
      <c r="AV9" s="256"/>
      <c r="AW9" s="256"/>
      <c r="AX9" s="146"/>
      <c r="AY9" s="147"/>
      <c r="AZ9" s="280">
        <f>AZ11+AZ12</f>
        <v>5659139</v>
      </c>
      <c r="BA9" s="281">
        <f>(BB12+BB11)/AZ9</f>
        <v>3.531114162414106</v>
      </c>
      <c r="BB9" s="279">
        <f>BB10+BB11+BB12+BB13</f>
        <v>19983065.86997</v>
      </c>
      <c r="BG9" s="152" t="s">
        <v>592</v>
      </c>
      <c r="BH9" s="75" t="s">
        <v>599</v>
      </c>
      <c r="BI9" s="213"/>
      <c r="BJ9" s="375">
        <f t="shared" si="2"/>
        <v>42252.65</v>
      </c>
      <c r="BK9" s="375">
        <v>42275.12</v>
      </c>
      <c r="BL9" s="384">
        <v>1800</v>
      </c>
      <c r="BM9" s="383">
        <f t="shared" si="0"/>
        <v>22.470000000001164</v>
      </c>
      <c r="BN9" s="152"/>
      <c r="BO9" s="155">
        <f t="shared" si="1"/>
        <v>40446</v>
      </c>
    </row>
    <row r="10" spans="1:67" ht="12.75">
      <c r="A10" s="143" t="s">
        <v>335</v>
      </c>
      <c r="B10" s="171" t="s">
        <v>199</v>
      </c>
      <c r="C10" s="143" t="s">
        <v>200</v>
      </c>
      <c r="D10" s="224" t="s">
        <v>286</v>
      </c>
      <c r="E10" s="225"/>
      <c r="F10" s="143" t="s">
        <v>201</v>
      </c>
      <c r="G10" s="143" t="s">
        <v>404</v>
      </c>
      <c r="H10" s="143" t="s">
        <v>202</v>
      </c>
      <c r="I10" s="143" t="s">
        <v>191</v>
      </c>
      <c r="J10" s="120" t="s">
        <v>198</v>
      </c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277" t="s">
        <v>554</v>
      </c>
      <c r="Z10" s="120"/>
      <c r="AA10" s="120"/>
      <c r="AB10" s="120"/>
      <c r="AC10" s="120"/>
      <c r="AD10" s="120"/>
      <c r="AE10" s="120"/>
      <c r="AF10" s="120"/>
      <c r="AG10" s="120"/>
      <c r="AH10" s="277" t="s">
        <v>554</v>
      </c>
      <c r="AI10" s="120"/>
      <c r="AJ10" s="120"/>
      <c r="AK10" s="120"/>
      <c r="AL10" s="120"/>
      <c r="AM10" s="120"/>
      <c r="AN10" s="120"/>
      <c r="AO10" s="120"/>
      <c r="AP10" s="120"/>
      <c r="AQ10" s="277" t="s">
        <v>554</v>
      </c>
      <c r="AR10" s="120"/>
      <c r="AS10" s="120"/>
      <c r="AT10" s="145" t="s">
        <v>179</v>
      </c>
      <c r="AU10" s="146"/>
      <c r="AV10" s="146"/>
      <c r="AW10" s="146"/>
      <c r="AX10" s="146"/>
      <c r="AY10" s="147"/>
      <c r="AZ10" s="282"/>
      <c r="BA10" s="283">
        <v>0</v>
      </c>
      <c r="BB10" s="284">
        <f>AZ10*BA10</f>
        <v>0</v>
      </c>
      <c r="BG10" s="152" t="s">
        <v>593</v>
      </c>
      <c r="BH10" s="75" t="s">
        <v>599</v>
      </c>
      <c r="BI10" s="213"/>
      <c r="BJ10" s="375">
        <f t="shared" si="2"/>
        <v>42275.12</v>
      </c>
      <c r="BK10" s="375">
        <v>42297.69</v>
      </c>
      <c r="BL10" s="384">
        <v>1800</v>
      </c>
      <c r="BM10" s="383">
        <f t="shared" si="0"/>
        <v>22.56999999999971</v>
      </c>
      <c r="BN10" s="152"/>
      <c r="BO10" s="155">
        <f t="shared" si="1"/>
        <v>40626</v>
      </c>
    </row>
    <row r="11" spans="1:67" ht="12.75">
      <c r="A11" s="173"/>
      <c r="B11" s="173"/>
      <c r="C11" s="173"/>
      <c r="D11" s="143" t="s">
        <v>203</v>
      </c>
      <c r="E11" s="145" t="s">
        <v>204</v>
      </c>
      <c r="F11" s="173" t="s">
        <v>205</v>
      </c>
      <c r="G11" s="173" t="s">
        <v>190</v>
      </c>
      <c r="H11" s="173"/>
      <c r="I11" s="173" t="s">
        <v>206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45" t="s">
        <v>180</v>
      </c>
      <c r="AU11" s="146"/>
      <c r="AV11" s="146"/>
      <c r="AW11" s="146"/>
      <c r="AX11" s="146"/>
      <c r="AY11" s="147"/>
      <c r="AZ11" s="155">
        <f>I81+I73</f>
        <v>7530.999999999956</v>
      </c>
      <c r="BA11" s="285">
        <v>5.23775</v>
      </c>
      <c r="BB11" s="284">
        <f>AZ11*BA11</f>
        <v>39445.495249999774</v>
      </c>
      <c r="BG11" s="152" t="s">
        <v>594</v>
      </c>
      <c r="BH11" s="75" t="s">
        <v>599</v>
      </c>
      <c r="BI11" s="152"/>
      <c r="BJ11" s="375">
        <f t="shared" si="2"/>
        <v>42297.69</v>
      </c>
      <c r="BK11" s="375">
        <v>42311.2</v>
      </c>
      <c r="BL11" s="384">
        <v>1800</v>
      </c>
      <c r="BM11" s="383">
        <f t="shared" si="0"/>
        <v>13.509999999994761</v>
      </c>
      <c r="BN11" s="152"/>
      <c r="BO11" s="155">
        <f t="shared" si="1"/>
        <v>24318</v>
      </c>
    </row>
    <row r="12" spans="1:67" ht="12.75">
      <c r="A12" s="144"/>
      <c r="B12" s="144"/>
      <c r="C12" s="144"/>
      <c r="D12" s="144" t="s">
        <v>207</v>
      </c>
      <c r="E12" s="103" t="s">
        <v>207</v>
      </c>
      <c r="F12" s="144" t="s">
        <v>208</v>
      </c>
      <c r="G12" s="144"/>
      <c r="H12" s="144"/>
      <c r="I12" s="144"/>
      <c r="J12" s="143" t="s">
        <v>335</v>
      </c>
      <c r="K12" s="171" t="s">
        <v>199</v>
      </c>
      <c r="L12" s="143" t="s">
        <v>200</v>
      </c>
      <c r="M12" s="224" t="s">
        <v>464</v>
      </c>
      <c r="N12" s="225"/>
      <c r="O12" s="143" t="s">
        <v>201</v>
      </c>
      <c r="P12" s="143" t="s">
        <v>404</v>
      </c>
      <c r="Q12" s="143" t="s">
        <v>202</v>
      </c>
      <c r="R12" s="143" t="s">
        <v>191</v>
      </c>
      <c r="S12" s="143" t="s">
        <v>335</v>
      </c>
      <c r="T12" s="145" t="s">
        <v>336</v>
      </c>
      <c r="U12" s="146"/>
      <c r="V12" s="147"/>
      <c r="W12" s="102" t="s">
        <v>337</v>
      </c>
      <c r="X12" s="150"/>
      <c r="Y12" s="150"/>
      <c r="Z12" s="150"/>
      <c r="AA12" s="151"/>
      <c r="AB12" s="143" t="s">
        <v>335</v>
      </c>
      <c r="AC12" s="145" t="s">
        <v>336</v>
      </c>
      <c r="AD12" s="146"/>
      <c r="AE12" s="147"/>
      <c r="AF12" s="102" t="s">
        <v>337</v>
      </c>
      <c r="AG12" s="150"/>
      <c r="AH12" s="150"/>
      <c r="AI12" s="150"/>
      <c r="AJ12" s="151"/>
      <c r="AK12" s="143" t="s">
        <v>335</v>
      </c>
      <c r="AL12" s="145" t="s">
        <v>336</v>
      </c>
      <c r="AM12" s="146"/>
      <c r="AN12" s="147"/>
      <c r="AO12" s="102" t="s">
        <v>337</v>
      </c>
      <c r="AP12" s="150"/>
      <c r="AQ12" s="150"/>
      <c r="AR12" s="150"/>
      <c r="AS12" s="151"/>
      <c r="AT12" s="145" t="s">
        <v>181</v>
      </c>
      <c r="AU12" s="146"/>
      <c r="AV12" s="146"/>
      <c r="AW12" s="146"/>
      <c r="AX12" s="146"/>
      <c r="AY12" s="147"/>
      <c r="AZ12" s="280">
        <f>I75</f>
        <v>5651608</v>
      </c>
      <c r="BA12" s="286">
        <v>3.52884</v>
      </c>
      <c r="BB12" s="284">
        <f>AZ12*BA12</f>
        <v>19943620.37472</v>
      </c>
      <c r="BG12" s="152" t="s">
        <v>595</v>
      </c>
      <c r="BH12" s="75" t="s">
        <v>599</v>
      </c>
      <c r="BI12" s="152"/>
      <c r="BJ12" s="375">
        <f t="shared" si="2"/>
        <v>42311.2</v>
      </c>
      <c r="BK12" s="375">
        <v>42325.9</v>
      </c>
      <c r="BL12" s="384">
        <v>1800</v>
      </c>
      <c r="BM12" s="383">
        <f t="shared" si="0"/>
        <v>14.700000000004366</v>
      </c>
      <c r="BN12" s="152"/>
      <c r="BO12" s="155">
        <f t="shared" si="1"/>
        <v>26460</v>
      </c>
    </row>
    <row r="13" spans="1:67" ht="14.25" customHeight="1">
      <c r="A13" s="152">
        <v>1</v>
      </c>
      <c r="B13" s="152">
        <v>2</v>
      </c>
      <c r="C13" s="152">
        <v>3</v>
      </c>
      <c r="D13" s="152">
        <v>4</v>
      </c>
      <c r="E13" s="152">
        <v>5</v>
      </c>
      <c r="F13" s="152">
        <v>6</v>
      </c>
      <c r="G13" s="152">
        <v>7</v>
      </c>
      <c r="H13" s="152">
        <v>8</v>
      </c>
      <c r="I13" s="152">
        <v>9</v>
      </c>
      <c r="J13" s="173"/>
      <c r="K13" s="173"/>
      <c r="L13" s="173"/>
      <c r="M13" s="143" t="s">
        <v>203</v>
      </c>
      <c r="N13" s="145" t="s">
        <v>204</v>
      </c>
      <c r="O13" s="173" t="s">
        <v>205</v>
      </c>
      <c r="P13" s="173" t="s">
        <v>190</v>
      </c>
      <c r="Q13" s="173"/>
      <c r="R13" s="173" t="s">
        <v>206</v>
      </c>
      <c r="S13" s="144"/>
      <c r="T13" s="103"/>
      <c r="U13" s="148"/>
      <c r="V13" s="149"/>
      <c r="W13" s="152" t="s">
        <v>338</v>
      </c>
      <c r="X13" s="152" t="s">
        <v>339</v>
      </c>
      <c r="Y13" s="152" t="s">
        <v>340</v>
      </c>
      <c r="Z13" s="152" t="s">
        <v>341</v>
      </c>
      <c r="AA13" s="152" t="s">
        <v>342</v>
      </c>
      <c r="AB13" s="144"/>
      <c r="AC13" s="103"/>
      <c r="AD13" s="148"/>
      <c r="AE13" s="149"/>
      <c r="AF13" s="152" t="s">
        <v>338</v>
      </c>
      <c r="AG13" s="152" t="s">
        <v>339</v>
      </c>
      <c r="AH13" s="152" t="s">
        <v>340</v>
      </c>
      <c r="AI13" s="152" t="s">
        <v>341</v>
      </c>
      <c r="AJ13" s="152" t="s">
        <v>342</v>
      </c>
      <c r="AK13" s="144"/>
      <c r="AL13" s="103"/>
      <c r="AM13" s="148"/>
      <c r="AN13" s="149"/>
      <c r="AO13" s="152" t="s">
        <v>338</v>
      </c>
      <c r="AP13" s="152" t="s">
        <v>339</v>
      </c>
      <c r="AQ13" s="152" t="s">
        <v>340</v>
      </c>
      <c r="AR13" s="152" t="s">
        <v>341</v>
      </c>
      <c r="AS13" s="152" t="s">
        <v>342</v>
      </c>
      <c r="AT13" s="102" t="s">
        <v>173</v>
      </c>
      <c r="AU13" s="150"/>
      <c r="AV13" s="150"/>
      <c r="AW13" s="150"/>
      <c r="AX13" s="150"/>
      <c r="AY13" s="151"/>
      <c r="AZ13" s="280"/>
      <c r="BA13" s="257"/>
      <c r="BB13" s="284">
        <f>BA13*AZ13</f>
        <v>0</v>
      </c>
      <c r="BG13" s="152" t="s">
        <v>596</v>
      </c>
      <c r="BH13" s="75" t="s">
        <v>599</v>
      </c>
      <c r="BI13" s="213"/>
      <c r="BJ13" s="375">
        <f t="shared" si="2"/>
        <v>42325.9</v>
      </c>
      <c r="BK13" s="375">
        <v>42342.11</v>
      </c>
      <c r="BL13" s="384">
        <v>1800</v>
      </c>
      <c r="BM13" s="383">
        <f t="shared" si="0"/>
        <v>16.209999999999127</v>
      </c>
      <c r="BN13" s="152"/>
      <c r="BO13" s="155">
        <f t="shared" si="1"/>
        <v>29178</v>
      </c>
    </row>
    <row r="14" spans="1:67" ht="14.25" customHeight="1">
      <c r="A14" s="103"/>
      <c r="B14" s="148"/>
      <c r="C14" s="320" t="s">
        <v>209</v>
      </c>
      <c r="D14" s="320"/>
      <c r="E14" s="148"/>
      <c r="F14" s="148"/>
      <c r="G14" s="148"/>
      <c r="H14" s="148"/>
      <c r="I14" s="149"/>
      <c r="J14" s="144"/>
      <c r="K14" s="144"/>
      <c r="L14" s="144"/>
      <c r="M14" s="144" t="s">
        <v>207</v>
      </c>
      <c r="N14" s="103" t="s">
        <v>207</v>
      </c>
      <c r="O14" s="144" t="s">
        <v>208</v>
      </c>
      <c r="P14" s="144"/>
      <c r="Q14" s="144"/>
      <c r="R14" s="144"/>
      <c r="S14" s="152">
        <v>1</v>
      </c>
      <c r="T14" s="96" t="s">
        <v>159</v>
      </c>
      <c r="U14" s="96"/>
      <c r="V14" s="96"/>
      <c r="W14" s="155">
        <f aca="true" t="shared" si="3" ref="W14:W25">SUM(X14:AA14)</f>
        <v>6774919</v>
      </c>
      <c r="X14" s="155">
        <f>SUM(X15:X26)</f>
        <v>5737343</v>
      </c>
      <c r="Y14" s="155">
        <f>SUM(Y15:Y27)</f>
        <v>0</v>
      </c>
      <c r="Z14" s="155">
        <f>SUM(Z15:Z26)</f>
        <v>1037576</v>
      </c>
      <c r="AA14" s="152">
        <f>SUM(AA15:AA27)</f>
        <v>0</v>
      </c>
      <c r="AB14" s="152"/>
      <c r="AC14" s="96" t="s">
        <v>136</v>
      </c>
      <c r="AD14" s="96"/>
      <c r="AE14" s="96"/>
      <c r="AF14" s="163">
        <f>SUM(AG14:AJ14)</f>
        <v>196840</v>
      </c>
      <c r="AG14" s="155">
        <f>SUM(AG16:AG22)</f>
        <v>187896</v>
      </c>
      <c r="AH14" s="155">
        <f>SUM(AH16:AH22)</f>
        <v>0</v>
      </c>
      <c r="AI14" s="155">
        <f>SUM(AI16:AI22)</f>
        <v>8944</v>
      </c>
      <c r="AJ14" s="152">
        <f>SUM(AJ16:AJ22)</f>
        <v>0</v>
      </c>
      <c r="AK14" s="171">
        <v>1</v>
      </c>
      <c r="AL14" s="143" t="s">
        <v>136</v>
      </c>
      <c r="AM14" s="143"/>
      <c r="AN14" s="143"/>
      <c r="AO14" s="175">
        <f>SUM(AP14:AS14)</f>
        <v>62672</v>
      </c>
      <c r="AP14" s="175">
        <f>SUM(AP16:AP17)</f>
        <v>0</v>
      </c>
      <c r="AQ14" s="175">
        <f>SUM(AQ16:AQ17)</f>
        <v>0</v>
      </c>
      <c r="AR14" s="175">
        <f>ROUND(SUM(AR16:AR20),0)</f>
        <v>62672</v>
      </c>
      <c r="AS14" s="171">
        <f>SUM(AS16:AS17)</f>
        <v>0</v>
      </c>
      <c r="AT14" s="144" t="s">
        <v>423</v>
      </c>
      <c r="AU14" s="144"/>
      <c r="AV14" s="144"/>
      <c r="AW14" s="144"/>
      <c r="AX14" s="144"/>
      <c r="AY14" s="144"/>
      <c r="AZ14" s="280">
        <f>SUM(AZ15:AZ21)</f>
        <v>407</v>
      </c>
      <c r="BA14" s="287"/>
      <c r="BB14" s="284">
        <f>SUM(BB15:BB21)</f>
        <v>1294.676128</v>
      </c>
      <c r="BG14" s="152" t="s">
        <v>597</v>
      </c>
      <c r="BH14" s="75" t="s">
        <v>599</v>
      </c>
      <c r="BI14" s="152"/>
      <c r="BJ14" s="375">
        <f t="shared" si="2"/>
        <v>42342.11</v>
      </c>
      <c r="BK14" s="375">
        <v>42360.78</v>
      </c>
      <c r="BL14" s="384">
        <v>1800</v>
      </c>
      <c r="BM14" s="383">
        <f t="shared" si="0"/>
        <v>18.669999999998254</v>
      </c>
      <c r="BN14" s="152"/>
      <c r="BO14" s="155">
        <f t="shared" si="1"/>
        <v>33606</v>
      </c>
    </row>
    <row r="15" spans="1:67" ht="12.75">
      <c r="A15" s="103"/>
      <c r="B15" s="102" t="s">
        <v>520</v>
      </c>
      <c r="C15" s="320"/>
      <c r="D15" s="320"/>
      <c r="E15" s="148"/>
      <c r="F15" s="148"/>
      <c r="G15" s="148"/>
      <c r="H15" s="148"/>
      <c r="I15" s="149"/>
      <c r="J15" s="152">
        <v>1</v>
      </c>
      <c r="K15" s="152">
        <v>2</v>
      </c>
      <c r="L15" s="152">
        <v>3</v>
      </c>
      <c r="M15" s="152">
        <v>4</v>
      </c>
      <c r="N15" s="152">
        <v>5</v>
      </c>
      <c r="O15" s="152">
        <v>6</v>
      </c>
      <c r="P15" s="152">
        <v>7</v>
      </c>
      <c r="Q15" s="152">
        <v>8</v>
      </c>
      <c r="R15" s="152">
        <v>9</v>
      </c>
      <c r="S15" s="170" t="s">
        <v>145</v>
      </c>
      <c r="T15" s="145" t="s">
        <v>121</v>
      </c>
      <c r="U15" s="146"/>
      <c r="V15" s="146"/>
      <c r="W15" s="163">
        <f t="shared" si="3"/>
        <v>3347133</v>
      </c>
      <c r="X15" s="193">
        <f>ROUND(I20,0)</f>
        <v>3347133</v>
      </c>
      <c r="Y15" s="171">
        <v>0</v>
      </c>
      <c r="Z15" s="171">
        <v>0</v>
      </c>
      <c r="AA15" s="171">
        <v>0</v>
      </c>
      <c r="AB15" s="171">
        <v>1</v>
      </c>
      <c r="AC15" s="145" t="s">
        <v>543</v>
      </c>
      <c r="AD15" s="146"/>
      <c r="AE15" s="147"/>
      <c r="AF15" s="162"/>
      <c r="AG15" s="165"/>
      <c r="AH15" s="165"/>
      <c r="AI15" s="165"/>
      <c r="AJ15" s="303"/>
      <c r="AK15" s="319"/>
      <c r="AL15" s="145" t="s">
        <v>545</v>
      </c>
      <c r="AM15" s="146"/>
      <c r="AN15" s="147"/>
      <c r="AO15" s="175"/>
      <c r="AP15" s="171"/>
      <c r="AQ15" s="171"/>
      <c r="AR15" s="175"/>
      <c r="AS15" s="171"/>
      <c r="AT15" s="147" t="s">
        <v>174</v>
      </c>
      <c r="AU15" s="143"/>
      <c r="AV15" s="143"/>
      <c r="AW15" s="143"/>
      <c r="AX15" s="143"/>
      <c r="AY15" s="143"/>
      <c r="AZ15" s="155">
        <f>AS57-AZ16</f>
        <v>0</v>
      </c>
      <c r="BA15" s="288"/>
      <c r="BB15" s="284">
        <f>AZ15*BA15</f>
        <v>0</v>
      </c>
      <c r="BG15" s="152" t="s">
        <v>598</v>
      </c>
      <c r="BH15" s="75" t="s">
        <v>599</v>
      </c>
      <c r="BI15" s="152"/>
      <c r="BJ15" s="375">
        <f t="shared" si="2"/>
        <v>42360.78</v>
      </c>
      <c r="BK15" s="152">
        <v>42371.86</v>
      </c>
      <c r="BL15" s="384">
        <v>1800</v>
      </c>
      <c r="BM15" s="383">
        <f t="shared" si="0"/>
        <v>11.080000000001746</v>
      </c>
      <c r="BN15" s="152"/>
      <c r="BO15" s="155">
        <f t="shared" si="1"/>
        <v>19944</v>
      </c>
    </row>
    <row r="16" spans="1:67" ht="12.75">
      <c r="A16" s="171">
        <v>1</v>
      </c>
      <c r="B16" s="143" t="s">
        <v>249</v>
      </c>
      <c r="C16" s="197">
        <v>804152757</v>
      </c>
      <c r="D16" s="230">
        <v>3860.546</v>
      </c>
      <c r="E16" s="230">
        <v>3960.0193</v>
      </c>
      <c r="F16" s="155">
        <v>36000</v>
      </c>
      <c r="G16" s="252">
        <f>E16-D16</f>
        <v>99.47330000000011</v>
      </c>
      <c r="H16" s="96"/>
      <c r="I16" s="155">
        <f>ROUND((F16*G16+H16),0)</f>
        <v>3581039</v>
      </c>
      <c r="J16" s="103"/>
      <c r="K16" s="148"/>
      <c r="L16" s="148" t="s">
        <v>209</v>
      </c>
      <c r="M16" s="148"/>
      <c r="N16" s="148"/>
      <c r="O16" s="148"/>
      <c r="P16" s="148"/>
      <c r="Q16" s="148"/>
      <c r="R16" s="149"/>
      <c r="S16" s="157" t="s">
        <v>146</v>
      </c>
      <c r="T16" s="159" t="s">
        <v>122</v>
      </c>
      <c r="U16" s="160"/>
      <c r="V16" s="160"/>
      <c r="W16" s="163">
        <f t="shared" si="3"/>
        <v>261052</v>
      </c>
      <c r="X16" s="186">
        <f>ROUND(I27,0)</f>
        <v>261052</v>
      </c>
      <c r="Y16" s="168">
        <v>0</v>
      </c>
      <c r="Z16" s="163">
        <v>0</v>
      </c>
      <c r="AA16" s="168">
        <v>0</v>
      </c>
      <c r="AB16" s="157" t="s">
        <v>145</v>
      </c>
      <c r="AC16" s="159" t="s">
        <v>343</v>
      </c>
      <c r="AD16" s="160"/>
      <c r="AE16" s="161"/>
      <c r="AF16" s="163">
        <f>AG16+AH16+AI16+AJ16</f>
        <v>187896</v>
      </c>
      <c r="AG16" s="163">
        <v>187896</v>
      </c>
      <c r="AH16" s="168">
        <v>0</v>
      </c>
      <c r="AI16" s="163">
        <v>0</v>
      </c>
      <c r="AJ16" s="192">
        <v>0</v>
      </c>
      <c r="AK16" s="157" t="s">
        <v>145</v>
      </c>
      <c r="AL16" s="159" t="s">
        <v>84</v>
      </c>
      <c r="AM16" s="160"/>
      <c r="AN16" s="161"/>
      <c r="AO16" s="163">
        <f>AP16+AQ16+AR16+AS16</f>
        <v>270</v>
      </c>
      <c r="AP16" s="168">
        <v>0</v>
      </c>
      <c r="AQ16" s="168">
        <v>0</v>
      </c>
      <c r="AR16" s="163">
        <v>270</v>
      </c>
      <c r="AS16" s="168">
        <v>0</v>
      </c>
      <c r="AT16" s="147" t="s">
        <v>174</v>
      </c>
      <c r="AU16" s="143"/>
      <c r="AV16" s="143"/>
      <c r="AW16" s="143"/>
      <c r="AX16" s="143"/>
      <c r="AY16" s="143"/>
      <c r="AZ16" s="155">
        <f>AS57/100*80</f>
        <v>0</v>
      </c>
      <c r="BA16" s="289"/>
      <c r="BB16" s="284">
        <f>AZ16*BA16</f>
        <v>0</v>
      </c>
      <c r="BG16" s="96"/>
      <c r="BH16" s="96"/>
      <c r="BI16" s="213"/>
      <c r="BJ16" s="230"/>
      <c r="BK16" s="230"/>
      <c r="BL16" s="155"/>
      <c r="BM16" s="252"/>
      <c r="BN16" s="152"/>
      <c r="BO16" s="155"/>
    </row>
    <row r="17" spans="1:67" ht="12.75">
      <c r="A17" s="144"/>
      <c r="B17" s="103" t="s">
        <v>250</v>
      </c>
      <c r="C17" s="213">
        <v>109054169</v>
      </c>
      <c r="D17" s="230">
        <v>5948.8863</v>
      </c>
      <c r="E17" s="230">
        <v>6106.6572</v>
      </c>
      <c r="F17" s="155">
        <v>36000</v>
      </c>
      <c r="G17" s="252">
        <f>E17-D17</f>
        <v>157.77089999999953</v>
      </c>
      <c r="H17" s="96"/>
      <c r="I17" s="155">
        <f>F17*G17+H17</f>
        <v>5679752.399999983</v>
      </c>
      <c r="J17" s="96"/>
      <c r="K17" s="102" t="s">
        <v>210</v>
      </c>
      <c r="L17" s="150"/>
      <c r="M17" s="150"/>
      <c r="N17" s="150"/>
      <c r="O17" s="150"/>
      <c r="P17" s="150"/>
      <c r="Q17" s="150"/>
      <c r="R17" s="151"/>
      <c r="S17" s="157" t="s">
        <v>147</v>
      </c>
      <c r="T17" s="159" t="s">
        <v>123</v>
      </c>
      <c r="U17" s="160"/>
      <c r="V17" s="160"/>
      <c r="W17" s="163">
        <f t="shared" si="3"/>
        <v>279107</v>
      </c>
      <c r="X17" s="186">
        <f>ROUND(I29,0)</f>
        <v>279107</v>
      </c>
      <c r="Y17" s="168">
        <v>0</v>
      </c>
      <c r="Z17" s="163">
        <v>0</v>
      </c>
      <c r="AA17" s="168">
        <v>0</v>
      </c>
      <c r="AB17" s="157" t="s">
        <v>146</v>
      </c>
      <c r="AC17" s="159" t="s">
        <v>172</v>
      </c>
      <c r="AD17" s="160"/>
      <c r="AE17" s="161"/>
      <c r="AF17" s="163">
        <f>AG17+AH17+AI17+AJ17</f>
        <v>1731</v>
      </c>
      <c r="AG17" s="168">
        <v>0</v>
      </c>
      <c r="AH17" s="168">
        <v>0</v>
      </c>
      <c r="AI17" s="163">
        <v>1731</v>
      </c>
      <c r="AJ17" s="192">
        <v>0</v>
      </c>
      <c r="AK17" s="157" t="s">
        <v>146</v>
      </c>
      <c r="AL17" s="159" t="s">
        <v>277</v>
      </c>
      <c r="AM17" s="160"/>
      <c r="AN17" s="161"/>
      <c r="AO17" s="163">
        <f>AP17+AQ17+AR17+AS17</f>
        <v>1552</v>
      </c>
      <c r="AP17" s="168">
        <v>0</v>
      </c>
      <c r="AQ17" s="168">
        <v>0</v>
      </c>
      <c r="AR17" s="163">
        <v>1552</v>
      </c>
      <c r="AS17" s="168">
        <v>0</v>
      </c>
      <c r="AT17" s="146" t="s">
        <v>141</v>
      </c>
      <c r="AU17" s="146"/>
      <c r="AV17" s="146"/>
      <c r="AW17" s="146"/>
      <c r="AX17" s="146"/>
      <c r="AY17" s="147"/>
      <c r="AZ17" s="280">
        <f>R21</f>
        <v>260</v>
      </c>
      <c r="BA17" s="290">
        <v>2.7083333</v>
      </c>
      <c r="BB17" s="284">
        <f>AZ17*BA17</f>
        <v>704.166658</v>
      </c>
      <c r="BG17" s="96"/>
      <c r="BH17" s="96"/>
      <c r="BI17" s="152"/>
      <c r="BJ17" s="152"/>
      <c r="BK17" s="152"/>
      <c r="BL17" s="152"/>
      <c r="BM17" s="152"/>
      <c r="BN17" s="152"/>
      <c r="BO17" s="152"/>
    </row>
    <row r="18" spans="1:67" ht="15" customHeight="1">
      <c r="A18" s="102"/>
      <c r="B18" s="150"/>
      <c r="C18" s="148"/>
      <c r="D18" s="150"/>
      <c r="E18" s="150"/>
      <c r="F18" s="214" t="s">
        <v>212</v>
      </c>
      <c r="G18" s="150"/>
      <c r="H18" s="151"/>
      <c r="I18" s="155">
        <f>ROUND((I16+I17+I22),0)</f>
        <v>9339020</v>
      </c>
      <c r="J18" s="152">
        <v>1</v>
      </c>
      <c r="K18" s="102" t="s">
        <v>211</v>
      </c>
      <c r="L18" s="150"/>
      <c r="M18" s="150"/>
      <c r="N18" s="150"/>
      <c r="O18" s="150"/>
      <c r="P18" s="150"/>
      <c r="Q18" s="150"/>
      <c r="R18" s="151"/>
      <c r="S18" s="157" t="s">
        <v>148</v>
      </c>
      <c r="T18" s="159" t="s">
        <v>124</v>
      </c>
      <c r="U18" s="160"/>
      <c r="V18" s="160"/>
      <c r="W18" s="163">
        <f t="shared" si="3"/>
        <v>89723</v>
      </c>
      <c r="X18" s="186">
        <f>ROUND(I31,0)</f>
        <v>89723</v>
      </c>
      <c r="Y18" s="168">
        <v>0</v>
      </c>
      <c r="Z18" s="163">
        <v>0</v>
      </c>
      <c r="AA18" s="168">
        <v>0</v>
      </c>
      <c r="AB18" s="158" t="s">
        <v>147</v>
      </c>
      <c r="AC18" s="148" t="s">
        <v>156</v>
      </c>
      <c r="AD18" s="148"/>
      <c r="AE18" s="148"/>
      <c r="AF18" s="164">
        <f>AG18+AH18+AI18+AJ18</f>
        <v>7213</v>
      </c>
      <c r="AG18" s="169">
        <v>0</v>
      </c>
      <c r="AH18" s="169">
        <v>0</v>
      </c>
      <c r="AI18" s="164">
        <v>7213</v>
      </c>
      <c r="AJ18" s="318">
        <v>0</v>
      </c>
      <c r="AK18" s="157" t="s">
        <v>147</v>
      </c>
      <c r="AL18" s="159" t="s">
        <v>135</v>
      </c>
      <c r="AM18" s="160"/>
      <c r="AN18" s="161"/>
      <c r="AO18" s="163">
        <f>AP18+AQ18+AR18+AS18</f>
        <v>45334</v>
      </c>
      <c r="AP18" s="168">
        <v>0</v>
      </c>
      <c r="AQ18" s="168">
        <v>0</v>
      </c>
      <c r="AR18" s="163">
        <v>45334</v>
      </c>
      <c r="AS18" s="168">
        <v>0</v>
      </c>
      <c r="AT18" s="146" t="s">
        <v>142</v>
      </c>
      <c r="AU18" s="146"/>
      <c r="AV18" s="146"/>
      <c r="AW18" s="146"/>
      <c r="AX18" s="146"/>
      <c r="AY18" s="147"/>
      <c r="AZ18" s="280">
        <f>R22</f>
        <v>60</v>
      </c>
      <c r="BA18" s="290">
        <v>1.28333</v>
      </c>
      <c r="BB18" s="284">
        <f>AZ18*BA18</f>
        <v>76.99980000000001</v>
      </c>
      <c r="BG18" s="96"/>
      <c r="BH18" s="96"/>
      <c r="BI18" s="213"/>
      <c r="BJ18" s="152"/>
      <c r="BK18" s="152"/>
      <c r="BL18" s="155"/>
      <c r="BM18" s="152"/>
      <c r="BN18" s="152"/>
      <c r="BO18" s="152"/>
    </row>
    <row r="19" spans="1:67" ht="15" customHeight="1">
      <c r="A19" s="96" t="s">
        <v>213</v>
      </c>
      <c r="B19" s="102" t="s">
        <v>466</v>
      </c>
      <c r="C19" s="150"/>
      <c r="D19" s="150"/>
      <c r="E19" s="150"/>
      <c r="F19" s="150"/>
      <c r="G19" s="150"/>
      <c r="H19" s="150"/>
      <c r="I19" s="151"/>
      <c r="J19" s="171" t="s">
        <v>213</v>
      </c>
      <c r="K19" s="143" t="s">
        <v>290</v>
      </c>
      <c r="L19" s="171">
        <v>16654</v>
      </c>
      <c r="M19" s="234">
        <v>4675</v>
      </c>
      <c r="N19" s="234">
        <v>4762</v>
      </c>
      <c r="O19" s="171">
        <v>1</v>
      </c>
      <c r="P19" s="258">
        <f>N19-M19</f>
        <v>87</v>
      </c>
      <c r="Q19" s="259"/>
      <c r="R19" s="175">
        <f>O19*P19+Q19</f>
        <v>87</v>
      </c>
      <c r="S19" s="157" t="s">
        <v>153</v>
      </c>
      <c r="T19" s="159" t="s">
        <v>125</v>
      </c>
      <c r="U19" s="160"/>
      <c r="V19" s="160"/>
      <c r="W19" s="163">
        <f t="shared" si="3"/>
        <v>184890</v>
      </c>
      <c r="X19" s="186">
        <f>ROUND(I33,0)</f>
        <v>184890</v>
      </c>
      <c r="Y19" s="168">
        <v>0</v>
      </c>
      <c r="Z19" s="168">
        <v>0</v>
      </c>
      <c r="AA19" s="168">
        <v>0</v>
      </c>
      <c r="AB19" s="179"/>
      <c r="AC19" s="160"/>
      <c r="AD19" s="160"/>
      <c r="AE19" s="160"/>
      <c r="AF19" s="180"/>
      <c r="AG19" s="181"/>
      <c r="AH19" s="181"/>
      <c r="AI19" s="180"/>
      <c r="AJ19" s="181"/>
      <c r="AK19" s="157" t="s">
        <v>148</v>
      </c>
      <c r="AL19" s="159" t="s">
        <v>158</v>
      </c>
      <c r="AM19" s="160"/>
      <c r="AN19" s="161"/>
      <c r="AO19" s="163">
        <f>AP19+AQ19+AR19+AS19</f>
        <v>1156</v>
      </c>
      <c r="AP19" s="163">
        <v>0</v>
      </c>
      <c r="AQ19" s="168">
        <v>0</v>
      </c>
      <c r="AR19" s="163">
        <v>1156</v>
      </c>
      <c r="AS19" s="168">
        <v>0</v>
      </c>
      <c r="AT19" s="146" t="s">
        <v>182</v>
      </c>
      <c r="AU19" s="146"/>
      <c r="AV19" s="146"/>
      <c r="AW19" s="146"/>
      <c r="AX19" s="146"/>
      <c r="AY19" s="147"/>
      <c r="AZ19" s="291">
        <f>R19+R20</f>
        <v>87</v>
      </c>
      <c r="BA19" s="285">
        <v>5.90241</v>
      </c>
      <c r="BB19" s="284">
        <f>AZ19*BA19</f>
        <v>513.50967</v>
      </c>
      <c r="BG19" s="96"/>
      <c r="BH19" s="96"/>
      <c r="BI19" s="213"/>
      <c r="BJ19" s="230"/>
      <c r="BK19" s="230"/>
      <c r="BL19" s="155"/>
      <c r="BM19" s="252"/>
      <c r="BN19" s="155"/>
      <c r="BO19" s="155"/>
    </row>
    <row r="20" spans="1:67" ht="12.75">
      <c r="A20" s="96" t="s">
        <v>215</v>
      </c>
      <c r="B20" s="96" t="s">
        <v>216</v>
      </c>
      <c r="C20" s="213">
        <v>109053225</v>
      </c>
      <c r="D20" s="230">
        <v>17713.3495</v>
      </c>
      <c r="E20" s="230">
        <v>17872.7368</v>
      </c>
      <c r="F20" s="155">
        <v>21000</v>
      </c>
      <c r="G20" s="252">
        <f>E20-D20</f>
        <v>159.3872999999985</v>
      </c>
      <c r="H20" s="96"/>
      <c r="I20" s="155">
        <f>ROUND((F20*G20+H20),0)</f>
        <v>3347133</v>
      </c>
      <c r="J20" s="144"/>
      <c r="K20" s="144" t="s">
        <v>291</v>
      </c>
      <c r="L20" s="144"/>
      <c r="M20" s="144"/>
      <c r="N20" s="144"/>
      <c r="O20" s="144"/>
      <c r="P20" s="185"/>
      <c r="Q20" s="260"/>
      <c r="R20" s="276"/>
      <c r="S20" s="157" t="s">
        <v>157</v>
      </c>
      <c r="T20" s="159" t="s">
        <v>126</v>
      </c>
      <c r="U20" s="160"/>
      <c r="V20" s="160"/>
      <c r="W20" s="163">
        <f t="shared" si="3"/>
        <v>725779</v>
      </c>
      <c r="X20" s="186">
        <f>ROUND(I35,0)</f>
        <v>725779</v>
      </c>
      <c r="Y20" s="168">
        <v>0</v>
      </c>
      <c r="Z20" s="163">
        <v>0</v>
      </c>
      <c r="AA20" s="168">
        <v>0</v>
      </c>
      <c r="AB20" s="179"/>
      <c r="AC20" s="160"/>
      <c r="AD20" s="160"/>
      <c r="AE20" s="160"/>
      <c r="AF20" s="180"/>
      <c r="AG20" s="180"/>
      <c r="AH20" s="181"/>
      <c r="AI20" s="180"/>
      <c r="AJ20" s="181"/>
      <c r="AK20" s="158" t="s">
        <v>153</v>
      </c>
      <c r="AL20" s="103" t="s">
        <v>544</v>
      </c>
      <c r="AM20" s="148"/>
      <c r="AN20" s="149"/>
      <c r="AO20" s="164">
        <f>AP20+AQ20+AR20+AS20</f>
        <v>14360</v>
      </c>
      <c r="AP20" s="164"/>
      <c r="AQ20" s="169"/>
      <c r="AR20" s="164">
        <v>14360</v>
      </c>
      <c r="AS20" s="169"/>
      <c r="AT20" s="146" t="s">
        <v>416</v>
      </c>
      <c r="AU20" s="146"/>
      <c r="AV20" s="146"/>
      <c r="AW20" s="146"/>
      <c r="AX20" s="146"/>
      <c r="AY20" s="147"/>
      <c r="AZ20" s="280"/>
      <c r="BA20" s="290"/>
      <c r="BB20" s="279"/>
      <c r="BG20" s="143"/>
      <c r="BH20" s="143"/>
      <c r="BI20" s="197"/>
      <c r="BJ20" s="325"/>
      <c r="BK20" s="325"/>
      <c r="BL20" s="175"/>
      <c r="BM20" s="326"/>
      <c r="BN20" s="171"/>
      <c r="BO20" s="175"/>
    </row>
    <row r="21" spans="1:67" ht="12.75">
      <c r="A21" s="96" t="s">
        <v>521</v>
      </c>
      <c r="B21" s="150" t="s">
        <v>524</v>
      </c>
      <c r="C21" s="148"/>
      <c r="D21" s="150"/>
      <c r="E21" s="150"/>
      <c r="F21" s="214"/>
      <c r="G21" s="150"/>
      <c r="H21" s="151"/>
      <c r="I21" s="155"/>
      <c r="J21" s="143" t="s">
        <v>219</v>
      </c>
      <c r="K21" s="143" t="s">
        <v>293</v>
      </c>
      <c r="L21" s="377">
        <v>122848480</v>
      </c>
      <c r="M21" s="376">
        <v>380</v>
      </c>
      <c r="N21" s="376">
        <v>393</v>
      </c>
      <c r="O21" s="152">
        <v>20</v>
      </c>
      <c r="P21" s="375">
        <f>N21-M21</f>
        <v>13</v>
      </c>
      <c r="Q21" s="261"/>
      <c r="R21" s="155">
        <f>O21*P21+Q21</f>
        <v>260</v>
      </c>
      <c r="S21" s="157" t="s">
        <v>161</v>
      </c>
      <c r="T21" s="159" t="s">
        <v>127</v>
      </c>
      <c r="U21" s="160"/>
      <c r="V21" s="160"/>
      <c r="W21" s="163">
        <f t="shared" si="3"/>
        <v>184033</v>
      </c>
      <c r="X21" s="186">
        <f>ROUND(I37,0)</f>
        <v>184033</v>
      </c>
      <c r="Y21" s="168">
        <v>0</v>
      </c>
      <c r="Z21" s="163">
        <v>0</v>
      </c>
      <c r="AA21" s="168">
        <v>0</v>
      </c>
      <c r="AB21" s="179"/>
      <c r="AC21" s="160"/>
      <c r="AD21" s="160"/>
      <c r="AE21" s="160"/>
      <c r="AF21" s="180"/>
      <c r="AG21" s="180"/>
      <c r="AH21" s="181"/>
      <c r="AI21" s="180"/>
      <c r="AJ21" s="181"/>
      <c r="AK21" s="179"/>
      <c r="AL21" s="160"/>
      <c r="AM21" s="160"/>
      <c r="AN21" s="160"/>
      <c r="AO21" s="180"/>
      <c r="AP21" s="181"/>
      <c r="AQ21" s="182"/>
      <c r="AR21" s="180"/>
      <c r="AS21" s="181"/>
      <c r="AT21" s="102"/>
      <c r="AU21" s="146"/>
      <c r="AV21" s="146"/>
      <c r="AW21" s="146"/>
      <c r="AX21" s="146"/>
      <c r="AY21" s="147"/>
      <c r="AZ21" s="280"/>
      <c r="BA21" s="290"/>
      <c r="BB21" s="279"/>
      <c r="BG21" s="144"/>
      <c r="BH21" s="144"/>
      <c r="BI21" s="169"/>
      <c r="BJ21" s="228"/>
      <c r="BK21" s="228"/>
      <c r="BL21" s="164"/>
      <c r="BM21" s="227"/>
      <c r="BN21" s="169"/>
      <c r="BO21" s="164"/>
    </row>
    <row r="22" spans="1:54" ht="12.75">
      <c r="A22" s="96" t="s">
        <v>522</v>
      </c>
      <c r="B22" s="102" t="s">
        <v>525</v>
      </c>
      <c r="C22" s="150"/>
      <c r="D22" s="150"/>
      <c r="E22" s="150"/>
      <c r="F22" s="150"/>
      <c r="G22" s="150"/>
      <c r="H22" s="151"/>
      <c r="I22" s="280">
        <v>78229</v>
      </c>
      <c r="J22" s="144"/>
      <c r="K22" s="144" t="s">
        <v>292</v>
      </c>
      <c r="L22" s="377">
        <v>122848480</v>
      </c>
      <c r="M22" s="376">
        <v>100</v>
      </c>
      <c r="N22" s="376">
        <v>103</v>
      </c>
      <c r="O22" s="152">
        <v>20</v>
      </c>
      <c r="P22" s="375">
        <f>N22-M22</f>
        <v>3</v>
      </c>
      <c r="Q22" s="261"/>
      <c r="R22" s="155">
        <f>O22*P22+Q22</f>
        <v>60</v>
      </c>
      <c r="S22" s="157" t="s">
        <v>162</v>
      </c>
      <c r="T22" s="159" t="s">
        <v>128</v>
      </c>
      <c r="U22" s="160"/>
      <c r="V22" s="160"/>
      <c r="W22" s="163">
        <f t="shared" si="3"/>
        <v>665626</v>
      </c>
      <c r="X22" s="186">
        <f>ROUND(I39,0)</f>
        <v>665626</v>
      </c>
      <c r="Y22" s="168">
        <v>0</v>
      </c>
      <c r="Z22" s="168">
        <v>0</v>
      </c>
      <c r="AA22" s="168">
        <v>0</v>
      </c>
      <c r="AB22" s="179"/>
      <c r="AC22" s="160"/>
      <c r="AD22" s="160"/>
      <c r="AE22" s="160"/>
      <c r="AF22" s="180"/>
      <c r="AG22" s="181"/>
      <c r="AH22" s="181"/>
      <c r="AI22" s="180"/>
      <c r="AJ22" s="181"/>
      <c r="AK22" s="179"/>
      <c r="AL22" s="160"/>
      <c r="AM22" s="160"/>
      <c r="AN22" s="160"/>
      <c r="AO22" s="180"/>
      <c r="AP22" s="181"/>
      <c r="AQ22" s="182"/>
      <c r="AR22" s="180"/>
      <c r="AS22" s="181"/>
      <c r="AT22" s="255" t="s">
        <v>22</v>
      </c>
      <c r="AU22" s="256"/>
      <c r="AV22" s="256"/>
      <c r="AW22" s="256"/>
      <c r="AX22" s="146"/>
      <c r="AY22" s="147"/>
      <c r="AZ22" s="280"/>
      <c r="BA22" s="293"/>
      <c r="BB22" s="294"/>
    </row>
    <row r="23" spans="1:54" ht="12.75">
      <c r="A23" s="102"/>
      <c r="B23" s="102"/>
      <c r="C23" s="371"/>
      <c r="D23" s="372"/>
      <c r="E23" s="372"/>
      <c r="F23" s="373"/>
      <c r="G23" s="374"/>
      <c r="H23" s="151"/>
      <c r="I23" s="280"/>
      <c r="J23" s="102"/>
      <c r="K23" s="245"/>
      <c r="L23" s="245"/>
      <c r="M23" s="245"/>
      <c r="N23" s="245"/>
      <c r="O23" s="245"/>
      <c r="P23" s="246" t="s">
        <v>274</v>
      </c>
      <c r="Q23" s="247"/>
      <c r="R23" s="155">
        <f>R19+R21+R22+R20</f>
        <v>407</v>
      </c>
      <c r="S23" s="157" t="s">
        <v>163</v>
      </c>
      <c r="T23" s="159" t="s">
        <v>129</v>
      </c>
      <c r="U23" s="160"/>
      <c r="V23" s="160"/>
      <c r="W23" s="163">
        <f t="shared" si="3"/>
        <v>839619</v>
      </c>
      <c r="X23" s="186">
        <v>0</v>
      </c>
      <c r="Y23" s="168">
        <v>0</v>
      </c>
      <c r="Z23" s="163">
        <f>I26+I25</f>
        <v>839619</v>
      </c>
      <c r="AA23" s="168">
        <v>0</v>
      </c>
      <c r="AB23" s="179"/>
      <c r="AC23" s="160"/>
      <c r="AD23" s="160"/>
      <c r="AE23" s="160"/>
      <c r="AF23" s="180"/>
      <c r="AG23" s="181"/>
      <c r="AH23" s="182"/>
      <c r="AI23" s="180"/>
      <c r="AJ23" s="181"/>
      <c r="AK23" s="179"/>
      <c r="AL23" s="160"/>
      <c r="AM23" s="160"/>
      <c r="AN23" s="160"/>
      <c r="AO23" s="180"/>
      <c r="AP23" s="181"/>
      <c r="AQ23" s="182"/>
      <c r="AR23" s="180"/>
      <c r="AS23" s="181"/>
      <c r="AT23" s="145" t="s">
        <v>23</v>
      </c>
      <c r="AU23" s="146"/>
      <c r="AV23" s="146"/>
      <c r="AW23" s="146"/>
      <c r="AX23" s="146"/>
      <c r="AY23" s="147"/>
      <c r="AZ23" s="280"/>
      <c r="BA23" s="293"/>
      <c r="BB23" s="279"/>
    </row>
    <row r="24" spans="1:54" ht="13.5" customHeight="1">
      <c r="A24" s="96" t="s">
        <v>219</v>
      </c>
      <c r="B24" s="103" t="s">
        <v>220</v>
      </c>
      <c r="C24" s="148"/>
      <c r="D24" s="148"/>
      <c r="E24" s="148"/>
      <c r="F24" s="148"/>
      <c r="G24" s="148"/>
      <c r="H24" s="148"/>
      <c r="I24" s="151"/>
      <c r="J24" s="145"/>
      <c r="K24" s="146"/>
      <c r="L24" s="146"/>
      <c r="M24" s="146"/>
      <c r="N24" s="146"/>
      <c r="O24" s="146"/>
      <c r="P24" s="248"/>
      <c r="Q24" s="249"/>
      <c r="R24" s="250"/>
      <c r="S24" s="157" t="s">
        <v>164</v>
      </c>
      <c r="T24" s="160" t="s">
        <v>130</v>
      </c>
      <c r="U24" s="160"/>
      <c r="V24" s="160"/>
      <c r="W24" s="163">
        <f t="shared" si="3"/>
        <v>1175</v>
      </c>
      <c r="X24" s="186">
        <v>0</v>
      </c>
      <c r="Y24" s="168">
        <v>0</v>
      </c>
      <c r="Z24" s="163">
        <f>I41</f>
        <v>1175</v>
      </c>
      <c r="AA24" s="168">
        <v>0</v>
      </c>
      <c r="AB24" s="153"/>
      <c r="AC24" s="120" t="s">
        <v>189</v>
      </c>
      <c r="AD24" s="120"/>
      <c r="AE24" s="120"/>
      <c r="AF24" s="154"/>
      <c r="AG24" s="154"/>
      <c r="AH24" s="154"/>
      <c r="AI24" s="154"/>
      <c r="AJ24" s="154"/>
      <c r="AK24" s="153"/>
      <c r="AL24" s="120" t="s">
        <v>278</v>
      </c>
      <c r="AM24" s="120"/>
      <c r="AN24" s="120"/>
      <c r="AO24" s="154"/>
      <c r="AP24" s="154"/>
      <c r="AQ24" s="154"/>
      <c r="AR24" s="154"/>
      <c r="AS24" s="154"/>
      <c r="AT24" s="262" t="s">
        <v>139</v>
      </c>
      <c r="AU24" s="245"/>
      <c r="AV24" s="245"/>
      <c r="AW24" s="245"/>
      <c r="AX24" s="245"/>
      <c r="AY24" s="263"/>
      <c r="AZ24" s="295"/>
      <c r="BA24" s="287"/>
      <c r="BB24" s="284"/>
    </row>
    <row r="25" spans="1:54" ht="12.75">
      <c r="A25" s="143" t="s">
        <v>221</v>
      </c>
      <c r="B25" s="143" t="s">
        <v>224</v>
      </c>
      <c r="C25" s="197"/>
      <c r="D25" s="323"/>
      <c r="E25" s="323"/>
      <c r="F25" s="164"/>
      <c r="G25" s="324"/>
      <c r="H25" s="164"/>
      <c r="I25" s="164"/>
      <c r="J25" s="159" t="s">
        <v>275</v>
      </c>
      <c r="K25" s="160"/>
      <c r="L25" s="160"/>
      <c r="M25" s="160"/>
      <c r="N25" s="160"/>
      <c r="O25" s="160"/>
      <c r="P25" s="190"/>
      <c r="Q25" s="238"/>
      <c r="R25" s="251"/>
      <c r="S25" s="157" t="s">
        <v>165</v>
      </c>
      <c r="T25" s="160" t="s">
        <v>131</v>
      </c>
      <c r="U25" s="160"/>
      <c r="V25" s="160"/>
      <c r="W25" s="163">
        <f t="shared" si="3"/>
        <v>162782</v>
      </c>
      <c r="X25" s="186">
        <v>0</v>
      </c>
      <c r="Y25" s="168">
        <v>0</v>
      </c>
      <c r="Z25" s="163">
        <f>I43</f>
        <v>162782</v>
      </c>
      <c r="AA25" s="168">
        <v>0</v>
      </c>
      <c r="AB25" s="153"/>
      <c r="AC25" s="120" t="s">
        <v>533</v>
      </c>
      <c r="AD25" s="120"/>
      <c r="AE25" s="120"/>
      <c r="AF25" s="120"/>
      <c r="AG25" s="120"/>
      <c r="AH25" s="120"/>
      <c r="AI25" s="120"/>
      <c r="AJ25" s="120"/>
      <c r="AK25" s="153"/>
      <c r="AL25" s="120" t="s">
        <v>533</v>
      </c>
      <c r="AM25" s="120"/>
      <c r="AN25" s="120"/>
      <c r="AO25" s="120"/>
      <c r="AP25" s="120"/>
      <c r="AQ25" s="120"/>
      <c r="AR25" s="120"/>
      <c r="AS25" s="120"/>
      <c r="AT25" s="103" t="s">
        <v>183</v>
      </c>
      <c r="AU25" s="148"/>
      <c r="AV25" s="148"/>
      <c r="AW25" s="148"/>
      <c r="AX25" s="148"/>
      <c r="AY25" s="149"/>
      <c r="AZ25" s="296">
        <v>7.91</v>
      </c>
      <c r="BA25" s="297">
        <v>35268</v>
      </c>
      <c r="BB25" s="284">
        <f>AZ25*BA25</f>
        <v>278969.88</v>
      </c>
    </row>
    <row r="26" spans="1:54" ht="12.75">
      <c r="A26" s="144"/>
      <c r="B26" s="144" t="s">
        <v>222</v>
      </c>
      <c r="C26" s="198">
        <v>109056121</v>
      </c>
      <c r="D26" s="323">
        <v>20316.565</v>
      </c>
      <c r="E26" s="323">
        <v>20491.4856</v>
      </c>
      <c r="F26" s="164">
        <v>4800</v>
      </c>
      <c r="G26" s="324">
        <f aca="true" t="shared" si="4" ref="G26:G43">E26-D26</f>
        <v>174.9206000000013</v>
      </c>
      <c r="H26" s="164"/>
      <c r="I26" s="164">
        <f>ROUND(F26*G26+H26,0)</f>
        <v>839619</v>
      </c>
      <c r="J26" s="222" t="s">
        <v>548</v>
      </c>
      <c r="K26" s="223"/>
      <c r="L26" s="223"/>
      <c r="M26" s="191"/>
      <c r="N26" s="148"/>
      <c r="O26" s="148"/>
      <c r="P26" s="148"/>
      <c r="Q26" s="148"/>
      <c r="R26" s="209"/>
      <c r="S26" s="158" t="s">
        <v>166</v>
      </c>
      <c r="T26" s="148" t="s">
        <v>132</v>
      </c>
      <c r="U26" s="148"/>
      <c r="V26" s="148"/>
      <c r="W26" s="164">
        <f>SUM(X26:AA26)</f>
        <v>34000</v>
      </c>
      <c r="X26" s="187">
        <v>0</v>
      </c>
      <c r="Y26" s="169">
        <v>0</v>
      </c>
      <c r="Z26" s="164">
        <f>I45+I46</f>
        <v>34000</v>
      </c>
      <c r="AA26" s="169">
        <v>0</v>
      </c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02" t="s">
        <v>184</v>
      </c>
      <c r="AU26" s="150"/>
      <c r="AV26" s="150"/>
      <c r="AW26" s="150"/>
      <c r="AX26" s="160"/>
      <c r="AY26" s="161"/>
      <c r="AZ26" s="296">
        <f>(X14+AG14+AP14)/1000</f>
        <v>5925.239</v>
      </c>
      <c r="BA26" s="279">
        <v>17</v>
      </c>
      <c r="BB26" s="284">
        <f>AZ26*BA26</f>
        <v>100729.063</v>
      </c>
    </row>
    <row r="27" spans="1:54" ht="12.75">
      <c r="A27" s="143" t="s">
        <v>223</v>
      </c>
      <c r="B27" s="143" t="s">
        <v>235</v>
      </c>
      <c r="C27" s="197">
        <v>623125232</v>
      </c>
      <c r="D27" s="325">
        <v>8651.4919</v>
      </c>
      <c r="E27" s="325">
        <v>8796.5206</v>
      </c>
      <c r="F27" s="175">
        <v>1800</v>
      </c>
      <c r="G27" s="326">
        <f t="shared" si="4"/>
        <v>145.02869999999893</v>
      </c>
      <c r="H27" s="171"/>
      <c r="I27" s="175">
        <f>ROUND(G27*F27,0)</f>
        <v>261052</v>
      </c>
      <c r="J27" s="120"/>
      <c r="K27" s="160"/>
      <c r="L27" s="160"/>
      <c r="M27" s="160"/>
      <c r="N27" s="160"/>
      <c r="O27" s="160"/>
      <c r="P27" s="190"/>
      <c r="Q27" s="238"/>
      <c r="R27" s="237"/>
      <c r="S27" s="179"/>
      <c r="T27" s="160"/>
      <c r="U27" s="160"/>
      <c r="V27" s="160"/>
      <c r="W27" s="180"/>
      <c r="X27" s="180"/>
      <c r="Y27" s="181"/>
      <c r="Z27" s="180"/>
      <c r="AA27" s="181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03" t="s">
        <v>185</v>
      </c>
      <c r="AU27" s="148"/>
      <c r="AV27" s="148"/>
      <c r="AW27" s="148"/>
      <c r="AX27" s="146"/>
      <c r="AY27" s="147"/>
      <c r="AZ27" s="296">
        <v>2.26</v>
      </c>
      <c r="BA27" s="279">
        <v>35268</v>
      </c>
      <c r="BB27" s="279">
        <f>AZ27*BA27</f>
        <v>79705.68</v>
      </c>
    </row>
    <row r="28" spans="1:54" ht="12.75">
      <c r="A28" s="144"/>
      <c r="B28" s="144" t="s">
        <v>222</v>
      </c>
      <c r="C28" s="169"/>
      <c r="D28" s="228"/>
      <c r="E28" s="228"/>
      <c r="F28" s="164"/>
      <c r="G28" s="227"/>
      <c r="H28" s="169"/>
      <c r="I28" s="164"/>
      <c r="J28" s="160" t="s">
        <v>279</v>
      </c>
      <c r="K28" s="160"/>
      <c r="L28" s="264"/>
      <c r="M28" s="181"/>
      <c r="N28" s="265"/>
      <c r="O28" s="265"/>
      <c r="P28" s="188"/>
      <c r="Q28" s="160"/>
      <c r="R28" s="190"/>
      <c r="S28" s="120"/>
      <c r="T28" s="120"/>
      <c r="U28" s="120"/>
      <c r="V28" s="120"/>
      <c r="W28" s="120"/>
      <c r="X28" s="120"/>
      <c r="Y28" s="120"/>
      <c r="Z28" s="120"/>
      <c r="AA28" s="120"/>
      <c r="AB28" s="120" t="s">
        <v>447</v>
      </c>
      <c r="AC28" s="120"/>
      <c r="AD28" s="120"/>
      <c r="AE28" s="120"/>
      <c r="AF28" s="120"/>
      <c r="AG28" s="120" t="s">
        <v>450</v>
      </c>
      <c r="AH28" s="120"/>
      <c r="AI28" s="120" t="s">
        <v>451</v>
      </c>
      <c r="AJ28" s="120"/>
      <c r="AK28" s="120" t="s">
        <v>447</v>
      </c>
      <c r="AL28" s="120"/>
      <c r="AM28" s="120"/>
      <c r="AN28" s="120"/>
      <c r="AO28" s="120"/>
      <c r="AP28" s="120" t="s">
        <v>151</v>
      </c>
      <c r="AQ28" s="120"/>
      <c r="AR28" s="120" t="s">
        <v>152</v>
      </c>
      <c r="AS28" s="120"/>
      <c r="AT28" s="159" t="s">
        <v>186</v>
      </c>
      <c r="AU28" s="160"/>
      <c r="AV28" s="160"/>
      <c r="AW28" s="160"/>
      <c r="AX28" s="146"/>
      <c r="AY28" s="147"/>
      <c r="AZ28" s="296">
        <f>(Z14+AI14+AR14)/1000</f>
        <v>1109.192</v>
      </c>
      <c r="BA28" s="279">
        <v>17</v>
      </c>
      <c r="BB28" s="284">
        <f>AZ28*BA28</f>
        <v>18856.264</v>
      </c>
    </row>
    <row r="29" spans="1:54" ht="12.75">
      <c r="A29" s="143" t="s">
        <v>225</v>
      </c>
      <c r="B29" s="143" t="s">
        <v>236</v>
      </c>
      <c r="C29" s="197">
        <v>623125667</v>
      </c>
      <c r="D29" s="325">
        <v>9252.2317</v>
      </c>
      <c r="E29" s="325">
        <v>9407.2909</v>
      </c>
      <c r="F29" s="175">
        <v>1800</v>
      </c>
      <c r="G29" s="326">
        <f t="shared" si="4"/>
        <v>155.0591999999997</v>
      </c>
      <c r="H29" s="171"/>
      <c r="I29" s="175">
        <f>ROUND(G29*F29,0)</f>
        <v>279107</v>
      </c>
      <c r="J29" s="160"/>
      <c r="K29" s="160"/>
      <c r="L29" s="181"/>
      <c r="M29" s="181"/>
      <c r="N29" s="188"/>
      <c r="O29" s="188"/>
      <c r="P29" s="188"/>
      <c r="Q29" s="160"/>
      <c r="R29" s="190"/>
      <c r="S29" s="120"/>
      <c r="T29" s="120"/>
      <c r="U29" s="120"/>
      <c r="V29" s="120"/>
      <c r="W29" s="120"/>
      <c r="X29" s="120"/>
      <c r="Y29" s="120"/>
      <c r="Z29" s="120"/>
      <c r="AA29" s="120"/>
      <c r="AB29" s="120" t="s">
        <v>527</v>
      </c>
      <c r="AC29" s="120"/>
      <c r="AD29" s="120"/>
      <c r="AE29" s="120"/>
      <c r="AF29" s="120"/>
      <c r="AG29" s="120" t="s">
        <v>150</v>
      </c>
      <c r="AH29" s="120"/>
      <c r="AI29" s="120"/>
      <c r="AJ29" s="120"/>
      <c r="AK29" s="120" t="s">
        <v>527</v>
      </c>
      <c r="AL29" s="120"/>
      <c r="AM29" s="120"/>
      <c r="AN29" s="120"/>
      <c r="AO29" s="120"/>
      <c r="AP29" s="120" t="s">
        <v>150</v>
      </c>
      <c r="AQ29" s="120"/>
      <c r="AR29" s="120"/>
      <c r="AS29" s="120"/>
      <c r="AT29" s="145"/>
      <c r="AU29" s="146"/>
      <c r="AV29" s="146"/>
      <c r="AW29" s="146"/>
      <c r="AX29" s="146"/>
      <c r="AY29" s="147"/>
      <c r="AZ29" s="280"/>
      <c r="BA29" s="287"/>
      <c r="BB29" s="284"/>
    </row>
    <row r="30" spans="1:54" ht="12.75">
      <c r="A30" s="144"/>
      <c r="B30" s="144" t="s">
        <v>222</v>
      </c>
      <c r="C30" s="169"/>
      <c r="D30" s="228"/>
      <c r="E30" s="228"/>
      <c r="F30" s="164"/>
      <c r="G30" s="227"/>
      <c r="H30" s="169"/>
      <c r="I30" s="164"/>
      <c r="J30" s="160"/>
      <c r="K30" s="160"/>
      <c r="L30" s="181"/>
      <c r="M30" s="181"/>
      <c r="N30" s="188"/>
      <c r="O30" s="188"/>
      <c r="P30" s="188"/>
      <c r="Q30" s="160"/>
      <c r="R30" s="19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45"/>
      <c r="AU30" s="146"/>
      <c r="AV30" s="146"/>
      <c r="AW30" s="146"/>
      <c r="AX30" s="146"/>
      <c r="AY30" s="147"/>
      <c r="AZ30" s="280"/>
      <c r="BA30" s="287"/>
      <c r="BB30" s="284"/>
    </row>
    <row r="31" spans="1:54" ht="12.75">
      <c r="A31" s="143" t="s">
        <v>226</v>
      </c>
      <c r="B31" s="143" t="s">
        <v>237</v>
      </c>
      <c r="C31" s="197">
        <v>623126370</v>
      </c>
      <c r="D31" s="325">
        <v>2568.6127</v>
      </c>
      <c r="E31" s="325">
        <v>2587.305</v>
      </c>
      <c r="F31" s="175">
        <v>4800</v>
      </c>
      <c r="G31" s="326">
        <f t="shared" si="4"/>
        <v>18.692299999999705</v>
      </c>
      <c r="H31" s="171"/>
      <c r="I31" s="175">
        <f>ROUND(G31*F31,0)</f>
        <v>89723</v>
      </c>
      <c r="J31" s="160"/>
      <c r="K31" s="160"/>
      <c r="L31" s="264"/>
      <c r="M31" s="181"/>
      <c r="N31" s="265" t="s">
        <v>280</v>
      </c>
      <c r="O31" s="265"/>
      <c r="P31" s="188"/>
      <c r="Q31" s="160"/>
      <c r="R31" s="190"/>
      <c r="S31" s="120" t="s">
        <v>447</v>
      </c>
      <c r="T31" s="120"/>
      <c r="U31" s="120"/>
      <c r="V31" s="120"/>
      <c r="W31" s="120"/>
      <c r="X31" s="120" t="s">
        <v>450</v>
      </c>
      <c r="Y31" s="120"/>
      <c r="Z31" s="120" t="s">
        <v>451</v>
      </c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45"/>
      <c r="AU31" s="146"/>
      <c r="AV31" s="146"/>
      <c r="AW31" s="146"/>
      <c r="AX31" s="146"/>
      <c r="AY31" s="147"/>
      <c r="AZ31" s="280"/>
      <c r="BA31" s="287"/>
      <c r="BB31" s="284"/>
    </row>
    <row r="32" spans="1:54" ht="12.75">
      <c r="A32" s="144"/>
      <c r="B32" s="144" t="s">
        <v>222</v>
      </c>
      <c r="C32" s="169"/>
      <c r="D32" s="228"/>
      <c r="E32" s="228"/>
      <c r="F32" s="164"/>
      <c r="G32" s="227"/>
      <c r="H32" s="169"/>
      <c r="I32" s="164"/>
      <c r="J32" s="160"/>
      <c r="K32" s="160"/>
      <c r="L32" s="181"/>
      <c r="M32" s="181"/>
      <c r="N32" s="265" t="s">
        <v>529</v>
      </c>
      <c r="O32" s="265"/>
      <c r="P32" s="188"/>
      <c r="Q32" s="160"/>
      <c r="R32" s="190"/>
      <c r="S32" s="120" t="s">
        <v>527</v>
      </c>
      <c r="T32" s="120"/>
      <c r="U32" s="120"/>
      <c r="V32" s="120"/>
      <c r="W32" s="120"/>
      <c r="X32" s="120" t="s">
        <v>150</v>
      </c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45" t="s">
        <v>432</v>
      </c>
      <c r="AU32" s="146"/>
      <c r="AV32" s="146"/>
      <c r="AW32" s="146"/>
      <c r="AX32" s="146"/>
      <c r="AY32" s="147"/>
      <c r="AZ32" s="280"/>
      <c r="BA32" s="298"/>
      <c r="BB32" s="279"/>
    </row>
    <row r="33" spans="1:54" ht="12.75">
      <c r="A33" s="143" t="s">
        <v>227</v>
      </c>
      <c r="B33" s="143" t="s">
        <v>238</v>
      </c>
      <c r="C33" s="197">
        <v>623125137</v>
      </c>
      <c r="D33" s="325">
        <v>2012.1695</v>
      </c>
      <c r="E33" s="325">
        <v>2050.6882</v>
      </c>
      <c r="F33" s="175">
        <v>4800</v>
      </c>
      <c r="G33" s="326">
        <f t="shared" si="4"/>
        <v>38.51870000000008</v>
      </c>
      <c r="H33" s="171"/>
      <c r="I33" s="175">
        <f>ROUND(G33*F33,0)</f>
        <v>184890</v>
      </c>
      <c r="J33" s="160"/>
      <c r="K33" s="160"/>
      <c r="L33" s="264"/>
      <c r="M33" s="181"/>
      <c r="N33" s="265" t="s">
        <v>549</v>
      </c>
      <c r="O33" s="265"/>
      <c r="P33" s="188"/>
      <c r="Q33" s="160"/>
      <c r="R33" s="190"/>
      <c r="S33" s="120"/>
      <c r="T33" s="120"/>
      <c r="U33" s="120"/>
      <c r="V33" s="120"/>
      <c r="W33" s="120"/>
      <c r="X33" s="120"/>
      <c r="Y33" s="120"/>
      <c r="Z33" s="120"/>
      <c r="AA33" s="120"/>
      <c r="AB33" s="120" t="s">
        <v>149</v>
      </c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45" t="s">
        <v>430</v>
      </c>
      <c r="AU33" s="146"/>
      <c r="AV33" s="146"/>
      <c r="AW33" s="146"/>
      <c r="AX33" s="146"/>
      <c r="AY33" s="147"/>
      <c r="AZ33" s="280"/>
      <c r="BA33" s="287"/>
      <c r="BB33" s="279"/>
    </row>
    <row r="34" spans="1:54" ht="12.75">
      <c r="A34" s="144"/>
      <c r="B34" s="144" t="s">
        <v>222</v>
      </c>
      <c r="C34" s="169"/>
      <c r="D34" s="228"/>
      <c r="E34" s="228"/>
      <c r="F34" s="164"/>
      <c r="G34" s="227"/>
      <c r="H34" s="169"/>
      <c r="I34" s="164"/>
      <c r="J34" s="160"/>
      <c r="K34" s="160"/>
      <c r="L34" s="181"/>
      <c r="M34" s="181"/>
      <c r="N34" s="265"/>
      <c r="O34" s="265"/>
      <c r="P34" s="188"/>
      <c r="Q34" s="160"/>
      <c r="R34" s="190"/>
      <c r="S34" s="120"/>
      <c r="T34" s="120"/>
      <c r="U34" s="120"/>
      <c r="V34" s="120"/>
      <c r="W34" s="120"/>
      <c r="X34" s="120"/>
      <c r="Y34" s="120"/>
      <c r="Z34" s="120"/>
      <c r="AA34" s="120"/>
      <c r="AB34" s="120" t="s">
        <v>18</v>
      </c>
      <c r="AC34" s="120"/>
      <c r="AD34" s="120"/>
      <c r="AE34" s="120"/>
      <c r="AF34" s="120"/>
      <c r="AG34" s="120"/>
      <c r="AH34" s="120"/>
      <c r="AI34" s="120"/>
      <c r="AJ34" s="120"/>
      <c r="AK34" s="120" t="s">
        <v>149</v>
      </c>
      <c r="AL34" s="120"/>
      <c r="AM34" s="120"/>
      <c r="AN34" s="120"/>
      <c r="AO34" s="120"/>
      <c r="AP34" s="120"/>
      <c r="AQ34" s="120"/>
      <c r="AR34" s="120"/>
      <c r="AS34" s="120"/>
      <c r="AT34" s="145" t="s">
        <v>437</v>
      </c>
      <c r="AU34" s="146"/>
      <c r="AV34" s="146"/>
      <c r="AW34" s="146"/>
      <c r="AX34" s="146"/>
      <c r="AY34" s="147"/>
      <c r="AZ34" s="280"/>
      <c r="BA34" s="293"/>
      <c r="BB34" s="279"/>
    </row>
    <row r="35" spans="1:54" ht="12.75">
      <c r="A35" s="143" t="s">
        <v>228</v>
      </c>
      <c r="B35" s="143" t="s">
        <v>239</v>
      </c>
      <c r="C35" s="197">
        <v>623125142</v>
      </c>
      <c r="D35" s="325">
        <v>12532.3775</v>
      </c>
      <c r="E35" s="325">
        <v>12834.7854</v>
      </c>
      <c r="F35" s="175">
        <v>2400</v>
      </c>
      <c r="G35" s="326">
        <f t="shared" si="4"/>
        <v>302.40790000000015</v>
      </c>
      <c r="H35" s="171"/>
      <c r="I35" s="175">
        <f>ROUND(G35*F35,0)</f>
        <v>725779</v>
      </c>
      <c r="J35" s="160"/>
      <c r="K35" s="160"/>
      <c r="L35" s="264"/>
      <c r="M35" s="181"/>
      <c r="N35" s="266" t="s">
        <v>283</v>
      </c>
      <c r="O35" s="266"/>
      <c r="P35" s="188"/>
      <c r="Q35" s="160"/>
      <c r="R35" s="190"/>
      <c r="S35" s="120"/>
      <c r="T35" s="120"/>
      <c r="U35" s="120"/>
      <c r="V35" s="120"/>
      <c r="W35" s="120"/>
      <c r="X35" s="120"/>
      <c r="Y35" s="120"/>
      <c r="Z35" s="120"/>
      <c r="AA35" s="120"/>
      <c r="AB35" s="120" t="s">
        <v>167</v>
      </c>
      <c r="AC35" s="120"/>
      <c r="AD35" s="120"/>
      <c r="AE35" s="120"/>
      <c r="AF35" s="120"/>
      <c r="AG35" s="120" t="s">
        <v>134</v>
      </c>
      <c r="AH35" s="120"/>
      <c r="AI35" s="120" t="s">
        <v>133</v>
      </c>
      <c r="AJ35" s="120"/>
      <c r="AK35" s="120" t="s">
        <v>462</v>
      </c>
      <c r="AL35" s="120"/>
      <c r="AM35" s="120"/>
      <c r="AN35" s="120"/>
      <c r="AO35" s="120"/>
      <c r="AP35" s="120"/>
      <c r="AQ35" s="120" t="s">
        <v>463</v>
      </c>
      <c r="AR35" s="120"/>
      <c r="AS35" s="120"/>
      <c r="AT35" s="145" t="s">
        <v>430</v>
      </c>
      <c r="AU35" s="146"/>
      <c r="AV35" s="146"/>
      <c r="AW35" s="146"/>
      <c r="AX35" s="146"/>
      <c r="AY35" s="147"/>
      <c r="AZ35" s="280"/>
      <c r="BA35" s="293"/>
      <c r="BB35" s="279"/>
    </row>
    <row r="36" spans="1:54" ht="12.75">
      <c r="A36" s="144"/>
      <c r="B36" s="144" t="s">
        <v>222</v>
      </c>
      <c r="C36" s="169"/>
      <c r="D36" s="228"/>
      <c r="E36" s="228"/>
      <c r="F36" s="164"/>
      <c r="G36" s="227"/>
      <c r="H36" s="169"/>
      <c r="I36" s="164"/>
      <c r="J36" s="160"/>
      <c r="K36" s="239"/>
      <c r="L36" s="181"/>
      <c r="M36" s="181"/>
      <c r="N36" s="267" t="s">
        <v>281</v>
      </c>
      <c r="O36" s="188"/>
      <c r="P36" s="188"/>
      <c r="Q36" s="160"/>
      <c r="R36" s="190"/>
      <c r="S36" s="120"/>
      <c r="T36" s="120"/>
      <c r="U36" s="120"/>
      <c r="V36" s="120"/>
      <c r="W36" s="120"/>
      <c r="X36" s="120"/>
      <c r="Y36" s="120"/>
      <c r="Z36" s="120"/>
      <c r="AA36" s="120"/>
      <c r="AB36" s="120" t="s">
        <v>188</v>
      </c>
      <c r="AC36" s="120"/>
      <c r="AD36" s="120"/>
      <c r="AE36" s="120"/>
      <c r="AF36" s="120"/>
      <c r="AG36" s="120" t="s">
        <v>150</v>
      </c>
      <c r="AH36" s="120"/>
      <c r="AI36" s="120"/>
      <c r="AJ36" s="120"/>
      <c r="AK36" s="120"/>
      <c r="AL36" s="120"/>
      <c r="AM36" s="120"/>
      <c r="AN36" s="120"/>
      <c r="AO36" s="120"/>
      <c r="AP36" s="120"/>
      <c r="AQ36" s="120" t="s">
        <v>150</v>
      </c>
      <c r="AR36" s="120"/>
      <c r="AS36" s="120"/>
      <c r="AT36" s="145" t="s">
        <v>430</v>
      </c>
      <c r="AU36" s="146"/>
      <c r="AV36" s="146"/>
      <c r="AW36" s="146"/>
      <c r="AX36" s="146"/>
      <c r="AY36" s="147"/>
      <c r="AZ36" s="280"/>
      <c r="BA36" s="293"/>
      <c r="BB36" s="279"/>
    </row>
    <row r="37" spans="1:54" ht="12.75">
      <c r="A37" s="143" t="s">
        <v>229</v>
      </c>
      <c r="B37" s="143" t="s">
        <v>240</v>
      </c>
      <c r="C37" s="197">
        <v>623125205</v>
      </c>
      <c r="D37" s="325">
        <v>4317.2022</v>
      </c>
      <c r="E37" s="325">
        <v>4419.4429</v>
      </c>
      <c r="F37" s="175">
        <v>1800</v>
      </c>
      <c r="G37" s="326">
        <f t="shared" si="4"/>
        <v>102.24070000000029</v>
      </c>
      <c r="H37" s="171"/>
      <c r="I37" s="175">
        <f>ROUND(G37*F37,0)</f>
        <v>184033</v>
      </c>
      <c r="J37" s="120"/>
      <c r="K37" s="160"/>
      <c r="L37" s="160"/>
      <c r="M37" s="160"/>
      <c r="N37" s="160"/>
      <c r="O37" s="160"/>
      <c r="P37" s="190"/>
      <c r="Q37" s="236"/>
      <c r="R37" s="237"/>
      <c r="S37" s="120" t="s">
        <v>160</v>
      </c>
      <c r="T37" s="120"/>
      <c r="U37" s="120"/>
      <c r="V37" s="120"/>
      <c r="W37" s="120"/>
      <c r="X37" s="120" t="s">
        <v>450</v>
      </c>
      <c r="Y37" s="120"/>
      <c r="Z37" s="120" t="s">
        <v>137</v>
      </c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46" t="s">
        <v>323</v>
      </c>
      <c r="AU37" s="146"/>
      <c r="AV37" s="146"/>
      <c r="AW37" s="146"/>
      <c r="AX37" s="146"/>
      <c r="AY37" s="147"/>
      <c r="AZ37" s="280"/>
      <c r="BA37" s="287"/>
      <c r="BB37" s="279"/>
    </row>
    <row r="38" spans="1:54" ht="12.75">
      <c r="A38" s="144"/>
      <c r="B38" s="144" t="s">
        <v>222</v>
      </c>
      <c r="C38" s="169"/>
      <c r="D38" s="228"/>
      <c r="E38" s="228"/>
      <c r="F38" s="164"/>
      <c r="G38" s="227"/>
      <c r="H38" s="169"/>
      <c r="I38" s="164"/>
      <c r="J38" s="120"/>
      <c r="K38" s="160"/>
      <c r="L38" s="160"/>
      <c r="M38" s="160"/>
      <c r="N38" s="160"/>
      <c r="O38" s="160"/>
      <c r="P38" s="190"/>
      <c r="Q38" s="236"/>
      <c r="R38" s="237"/>
      <c r="S38" s="120"/>
      <c r="T38" s="120"/>
      <c r="U38" s="120"/>
      <c r="V38" s="120"/>
      <c r="W38" s="120"/>
      <c r="X38" s="120" t="s">
        <v>150</v>
      </c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45" t="s">
        <v>430</v>
      </c>
      <c r="AU38" s="146"/>
      <c r="AV38" s="146" t="s">
        <v>96</v>
      </c>
      <c r="AW38" s="146"/>
      <c r="AX38" s="146"/>
      <c r="AY38" s="147"/>
      <c r="AZ38" s="280"/>
      <c r="BA38" s="293"/>
      <c r="BB38" s="279"/>
    </row>
    <row r="39" spans="1:54" ht="12.75">
      <c r="A39" s="143" t="s">
        <v>230</v>
      </c>
      <c r="B39" s="143" t="s">
        <v>241</v>
      </c>
      <c r="C39" s="197">
        <v>623123704</v>
      </c>
      <c r="D39" s="325">
        <v>6257.5848</v>
      </c>
      <c r="E39" s="325">
        <v>6627.3768</v>
      </c>
      <c r="F39" s="175">
        <v>1800</v>
      </c>
      <c r="G39" s="326">
        <f t="shared" si="4"/>
        <v>369.79200000000037</v>
      </c>
      <c r="H39" s="171"/>
      <c r="I39" s="175">
        <f>ROUND(G39*F39,0)</f>
        <v>665626</v>
      </c>
      <c r="J39" s="120"/>
      <c r="K39" s="160"/>
      <c r="L39" s="160"/>
      <c r="M39" s="160"/>
      <c r="N39" s="160"/>
      <c r="O39" s="160"/>
      <c r="P39" s="190"/>
      <c r="Q39" s="236"/>
      <c r="R39" s="237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45" t="s">
        <v>431</v>
      </c>
      <c r="AU39" s="146"/>
      <c r="AV39" s="146" t="s">
        <v>416</v>
      </c>
      <c r="AW39" s="146"/>
      <c r="AX39" s="146"/>
      <c r="AY39" s="147"/>
      <c r="AZ39" s="280"/>
      <c r="BA39" s="293"/>
      <c r="BB39" s="279"/>
    </row>
    <row r="40" spans="1:54" ht="12.75">
      <c r="A40" s="144"/>
      <c r="B40" s="144" t="s">
        <v>222</v>
      </c>
      <c r="C40" s="169"/>
      <c r="D40" s="228"/>
      <c r="E40" s="228"/>
      <c r="F40" s="164"/>
      <c r="G40" s="227"/>
      <c r="H40" s="169"/>
      <c r="I40" s="164"/>
      <c r="J40" s="120"/>
      <c r="K40" s="160"/>
      <c r="L40" s="160"/>
      <c r="M40" s="160"/>
      <c r="N40" s="160"/>
      <c r="O40" s="160"/>
      <c r="P40" s="190"/>
      <c r="Q40" s="236"/>
      <c r="R40" s="237"/>
      <c r="S40" s="239"/>
      <c r="T40" s="268"/>
      <c r="U40" s="160"/>
      <c r="V40" s="160"/>
      <c r="W40" s="188"/>
      <c r="X40" s="188"/>
      <c r="Y40" s="269"/>
      <c r="Z40" s="160"/>
      <c r="AA40" s="19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45"/>
      <c r="AU40" s="146"/>
      <c r="AV40" s="146"/>
      <c r="AW40" s="146"/>
      <c r="AX40" s="146"/>
      <c r="AY40" s="147"/>
      <c r="AZ40" s="280"/>
      <c r="BA40" s="293"/>
      <c r="BB40" s="279"/>
    </row>
    <row r="41" spans="1:54" ht="12.75">
      <c r="A41" s="143" t="s">
        <v>231</v>
      </c>
      <c r="B41" s="143" t="s">
        <v>242</v>
      </c>
      <c r="C41" s="197">
        <v>623125794</v>
      </c>
      <c r="D41" s="325">
        <v>73.6219</v>
      </c>
      <c r="E41" s="325">
        <v>74.2749</v>
      </c>
      <c r="F41" s="175">
        <v>1800</v>
      </c>
      <c r="G41" s="326">
        <f t="shared" si="4"/>
        <v>0.6530000000000058</v>
      </c>
      <c r="H41" s="171"/>
      <c r="I41" s="175">
        <f>ROUND(G41*F41,0)</f>
        <v>1175</v>
      </c>
      <c r="J41" s="120"/>
      <c r="K41" s="160"/>
      <c r="L41" s="160"/>
      <c r="M41" s="160"/>
      <c r="N41" s="160"/>
      <c r="O41" s="160"/>
      <c r="P41" s="190"/>
      <c r="Q41" s="236"/>
      <c r="R41" s="237"/>
      <c r="S41" s="239"/>
      <c r="T41" s="268"/>
      <c r="U41" s="160"/>
      <c r="V41" s="160"/>
      <c r="W41" s="188"/>
      <c r="X41" s="188"/>
      <c r="Y41" s="269"/>
      <c r="Z41" s="160"/>
      <c r="AA41" s="19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45"/>
      <c r="AU41" s="146"/>
      <c r="AV41" s="146"/>
      <c r="AW41" s="146"/>
      <c r="AX41" s="146"/>
      <c r="AY41" s="147"/>
      <c r="AZ41" s="280"/>
      <c r="BA41" s="293"/>
      <c r="BB41" s="279"/>
    </row>
    <row r="42" spans="1:54" ht="12.75">
      <c r="A42" s="144"/>
      <c r="B42" s="144" t="s">
        <v>222</v>
      </c>
      <c r="C42" s="169"/>
      <c r="D42" s="228"/>
      <c r="E42" s="228"/>
      <c r="F42" s="164"/>
      <c r="G42" s="227"/>
      <c r="H42" s="169"/>
      <c r="I42" s="164"/>
      <c r="J42" s="120"/>
      <c r="K42" s="160"/>
      <c r="L42" s="160"/>
      <c r="M42" s="160"/>
      <c r="N42" s="160"/>
      <c r="O42" s="160"/>
      <c r="P42" s="190"/>
      <c r="Q42" s="236"/>
      <c r="R42" s="237"/>
      <c r="S42" s="268"/>
      <c r="T42" s="239"/>
      <c r="U42" s="160"/>
      <c r="V42" s="160"/>
      <c r="W42" s="160"/>
      <c r="X42" s="160"/>
      <c r="Y42" s="160"/>
      <c r="Z42" s="160"/>
      <c r="AA42" s="19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45"/>
      <c r="AU42" s="146"/>
      <c r="AV42" s="146"/>
      <c r="AW42" s="146"/>
      <c r="AX42" s="146"/>
      <c r="AY42" s="147"/>
      <c r="AZ42" s="280"/>
      <c r="BA42" s="287"/>
      <c r="BB42" s="279"/>
    </row>
    <row r="43" spans="1:54" ht="12.75">
      <c r="A43" s="143" t="s">
        <v>232</v>
      </c>
      <c r="B43" s="143" t="s">
        <v>243</v>
      </c>
      <c r="C43" s="197">
        <v>623125736</v>
      </c>
      <c r="D43" s="325">
        <v>3642.3264</v>
      </c>
      <c r="E43" s="325">
        <v>3777.9777</v>
      </c>
      <c r="F43" s="175">
        <v>1200</v>
      </c>
      <c r="G43" s="326">
        <f t="shared" si="4"/>
        <v>135.6513</v>
      </c>
      <c r="H43" s="171"/>
      <c r="I43" s="175">
        <f>ROUND(G43*F43,0)</f>
        <v>162782</v>
      </c>
      <c r="J43" s="120"/>
      <c r="K43" s="160"/>
      <c r="L43" s="160"/>
      <c r="M43" s="160"/>
      <c r="N43" s="160"/>
      <c r="O43" s="160"/>
      <c r="P43" s="190"/>
      <c r="Q43" s="236"/>
      <c r="R43" s="237"/>
      <c r="S43" s="239"/>
      <c r="T43" s="268"/>
      <c r="U43" s="160"/>
      <c r="V43" s="160"/>
      <c r="W43" s="188"/>
      <c r="X43" s="188"/>
      <c r="Y43" s="269"/>
      <c r="Z43" s="160"/>
      <c r="AA43" s="19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45" t="s">
        <v>323</v>
      </c>
      <c r="AU43" s="146"/>
      <c r="AV43" s="146"/>
      <c r="AW43" s="146"/>
      <c r="AX43" s="146"/>
      <c r="AY43" s="147"/>
      <c r="AZ43" s="280"/>
      <c r="BA43" s="293"/>
      <c r="BB43" s="279"/>
    </row>
    <row r="44" spans="1:54" ht="12.75">
      <c r="A44" s="144"/>
      <c r="B44" s="144" t="s">
        <v>222</v>
      </c>
      <c r="C44" s="168"/>
      <c r="D44" s="228"/>
      <c r="E44" s="228"/>
      <c r="F44" s="164"/>
      <c r="G44" s="227"/>
      <c r="H44" s="169"/>
      <c r="I44" s="164"/>
      <c r="J44" s="160"/>
      <c r="K44" s="160"/>
      <c r="L44" s="160"/>
      <c r="M44" s="160"/>
      <c r="N44" s="160"/>
      <c r="O44" s="160"/>
      <c r="P44" s="190"/>
      <c r="Q44" s="236"/>
      <c r="R44" s="237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45"/>
      <c r="AU44" s="146"/>
      <c r="AV44" s="146"/>
      <c r="AW44" s="146"/>
      <c r="AX44" s="146"/>
      <c r="AY44" s="147"/>
      <c r="AZ44" s="280"/>
      <c r="BA44" s="287"/>
      <c r="BB44" s="279"/>
    </row>
    <row r="45" spans="1:54" ht="12.75">
      <c r="A45" s="143" t="s">
        <v>233</v>
      </c>
      <c r="B45" s="145" t="s">
        <v>234</v>
      </c>
      <c r="C45" s="197">
        <v>1110171156</v>
      </c>
      <c r="D45" s="325">
        <v>8963.884</v>
      </c>
      <c r="E45" s="325">
        <v>9813.8752</v>
      </c>
      <c r="F45" s="175">
        <v>40</v>
      </c>
      <c r="G45" s="326">
        <f>E45-D45</f>
        <v>849.9912000000004</v>
      </c>
      <c r="H45" s="171"/>
      <c r="I45" s="175">
        <f>ROUND(G45*F45,0)</f>
        <v>34000</v>
      </c>
      <c r="J45" s="160"/>
      <c r="K45" s="160"/>
      <c r="L45" s="160"/>
      <c r="M45" s="160"/>
      <c r="N45" s="160"/>
      <c r="O45" s="160"/>
      <c r="P45" s="190"/>
      <c r="Q45" s="238"/>
      <c r="R45" s="237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45" t="s">
        <v>3</v>
      </c>
      <c r="AU45" s="146"/>
      <c r="AV45" s="146"/>
      <c r="AW45" s="146"/>
      <c r="AX45" s="146"/>
      <c r="AY45" s="147"/>
      <c r="AZ45" s="280"/>
      <c r="BA45" s="287"/>
      <c r="BB45" s="279"/>
    </row>
    <row r="46" spans="1:54" ht="12.75">
      <c r="A46" s="144"/>
      <c r="B46" s="103" t="s">
        <v>222</v>
      </c>
      <c r="C46" s="198"/>
      <c r="D46" s="378"/>
      <c r="E46" s="325"/>
      <c r="F46" s="175"/>
      <c r="G46" s="326"/>
      <c r="H46" s="171"/>
      <c r="I46" s="175"/>
      <c r="J46" s="160"/>
      <c r="K46" s="160"/>
      <c r="L46" s="160"/>
      <c r="M46" s="160"/>
      <c r="N46" s="160"/>
      <c r="O46" s="160"/>
      <c r="P46" s="190"/>
      <c r="Q46" s="236"/>
      <c r="R46" s="237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45"/>
      <c r="AU46" s="146"/>
      <c r="AV46" s="146" t="s">
        <v>330</v>
      </c>
      <c r="AW46" s="146"/>
      <c r="AX46" s="146"/>
      <c r="AY46" s="147"/>
      <c r="AZ46" s="280"/>
      <c r="BA46" s="298"/>
      <c r="BB46" s="279"/>
    </row>
    <row r="47" spans="1:54" ht="12.75">
      <c r="A47" s="201"/>
      <c r="B47" s="150"/>
      <c r="C47" s="191"/>
      <c r="D47" s="199"/>
      <c r="E47" s="200"/>
      <c r="F47" s="200"/>
      <c r="G47" s="215" t="s">
        <v>244</v>
      </c>
      <c r="H47" s="151"/>
      <c r="I47" s="235">
        <f>ROUND((SUM(I25:I46)+I20),0)</f>
        <v>6774919</v>
      </c>
      <c r="J47" s="160"/>
      <c r="K47" s="160"/>
      <c r="L47" s="160"/>
      <c r="M47" s="160"/>
      <c r="N47" s="160"/>
      <c r="O47" s="160"/>
      <c r="P47" s="190"/>
      <c r="Q47" s="238"/>
      <c r="R47" s="237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45"/>
      <c r="AU47" s="146"/>
      <c r="AV47" s="146"/>
      <c r="AW47" s="146"/>
      <c r="AX47" s="146"/>
      <c r="AY47" s="147"/>
      <c r="AZ47" s="280"/>
      <c r="BA47" s="287"/>
      <c r="BB47" s="279"/>
    </row>
    <row r="48" spans="1:54" ht="12.75">
      <c r="A48" s="143" t="s">
        <v>247</v>
      </c>
      <c r="B48" s="145" t="s">
        <v>245</v>
      </c>
      <c r="C48" s="202"/>
      <c r="D48" s="202"/>
      <c r="E48" s="203"/>
      <c r="F48" s="203"/>
      <c r="G48" s="204"/>
      <c r="H48" s="146"/>
      <c r="I48" s="205"/>
      <c r="J48" s="160"/>
      <c r="K48" s="160"/>
      <c r="L48" s="160"/>
      <c r="M48" s="160"/>
      <c r="N48" s="160"/>
      <c r="O48" s="160"/>
      <c r="P48" s="190"/>
      <c r="Q48" s="236"/>
      <c r="R48" s="237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45"/>
      <c r="AU48" s="146"/>
      <c r="AV48" s="146"/>
      <c r="AW48" s="146"/>
      <c r="AX48" s="146"/>
      <c r="AY48" s="147"/>
      <c r="AZ48" s="280"/>
      <c r="BA48" s="298"/>
      <c r="BB48" s="279"/>
    </row>
    <row r="49" spans="1:54" ht="12.75">
      <c r="A49" s="173"/>
      <c r="B49" s="159" t="s">
        <v>246</v>
      </c>
      <c r="C49" s="206"/>
      <c r="D49" s="191"/>
      <c r="E49" s="207"/>
      <c r="F49" s="207"/>
      <c r="G49" s="208"/>
      <c r="H49" s="148"/>
      <c r="I49" s="209"/>
      <c r="J49" s="160"/>
      <c r="K49" s="160"/>
      <c r="L49" s="239"/>
      <c r="M49" s="160"/>
      <c r="N49" s="160"/>
      <c r="O49" s="160"/>
      <c r="P49" s="190"/>
      <c r="Q49" s="236"/>
      <c r="R49" s="237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45"/>
      <c r="AU49" s="146"/>
      <c r="AV49" s="146" t="s">
        <v>330</v>
      </c>
      <c r="AW49" s="146"/>
      <c r="AX49" s="146"/>
      <c r="AY49" s="147"/>
      <c r="AZ49" s="280"/>
      <c r="BA49" s="293"/>
      <c r="BB49" s="279"/>
    </row>
    <row r="50" spans="1:54" ht="12.75">
      <c r="A50" s="145" t="s">
        <v>248</v>
      </c>
      <c r="B50" s="143" t="s">
        <v>484</v>
      </c>
      <c r="C50" s="304"/>
      <c r="D50" s="211"/>
      <c r="E50" s="211"/>
      <c r="F50" s="155"/>
      <c r="G50" s="212"/>
      <c r="H50" s="152"/>
      <c r="I50" s="155"/>
      <c r="J50" s="160"/>
      <c r="K50" s="160"/>
      <c r="L50" s="160"/>
      <c r="M50" s="160"/>
      <c r="N50" s="160"/>
      <c r="O50" s="160"/>
      <c r="P50" s="160"/>
      <c r="Q50" s="160"/>
      <c r="R50" s="16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50"/>
      <c r="AU50" s="150"/>
      <c r="AV50" s="270" t="s">
        <v>534</v>
      </c>
      <c r="AW50" s="150"/>
      <c r="AX50" s="150"/>
      <c r="AY50" s="151"/>
      <c r="AZ50" s="280"/>
      <c r="BA50" s="293"/>
      <c r="BB50" s="279"/>
    </row>
    <row r="51" spans="1:54" ht="12.75">
      <c r="A51" s="159"/>
      <c r="B51" s="173"/>
      <c r="C51" s="305">
        <v>611127627</v>
      </c>
      <c r="D51" s="302">
        <v>5632.3568</v>
      </c>
      <c r="E51" s="302">
        <v>5675.6408</v>
      </c>
      <c r="F51" s="155">
        <v>40</v>
      </c>
      <c r="G51" s="252">
        <f>E51-D51</f>
        <v>43.28400000000056</v>
      </c>
      <c r="H51" s="155"/>
      <c r="I51" s="155">
        <f>ROUND(F51*G51+H51,0)</f>
        <v>1731</v>
      </c>
      <c r="J51" s="160"/>
      <c r="K51" s="160"/>
      <c r="L51" s="160"/>
      <c r="M51" s="160"/>
      <c r="N51" s="160"/>
      <c r="O51" s="160"/>
      <c r="P51" s="160"/>
      <c r="Q51" s="160"/>
      <c r="R51" s="16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60"/>
      <c r="AU51" s="120"/>
      <c r="AV51" s="120"/>
      <c r="AW51" s="120"/>
      <c r="AX51" s="120"/>
      <c r="AY51" s="120"/>
      <c r="AZ51" s="120"/>
      <c r="BA51" s="120"/>
      <c r="BB51" s="120"/>
    </row>
    <row r="52" spans="1:54" ht="12.75">
      <c r="A52" s="159"/>
      <c r="B52" s="144" t="s">
        <v>467</v>
      </c>
      <c r="C52" s="305"/>
      <c r="D52" s="306"/>
      <c r="E52" s="306"/>
      <c r="F52" s="155"/>
      <c r="G52" s="212"/>
      <c r="H52" s="155"/>
      <c r="I52" s="155"/>
      <c r="J52" s="160"/>
      <c r="K52" s="160"/>
      <c r="L52" s="160"/>
      <c r="M52" s="160"/>
      <c r="N52" s="160"/>
      <c r="O52" s="160"/>
      <c r="P52" s="160"/>
      <c r="Q52" s="160"/>
      <c r="R52" s="16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60"/>
      <c r="AU52" s="120"/>
      <c r="AV52" s="120"/>
      <c r="AW52" s="120"/>
      <c r="AX52" s="120"/>
      <c r="AY52" s="120"/>
      <c r="AZ52" s="120"/>
      <c r="BA52" s="120"/>
      <c r="BB52" s="120"/>
    </row>
    <row r="53" spans="1:54" ht="12.75">
      <c r="A53" s="143" t="s">
        <v>251</v>
      </c>
      <c r="B53" s="161"/>
      <c r="C53" s="213">
        <v>810120245</v>
      </c>
      <c r="D53" s="302">
        <v>3634.5515</v>
      </c>
      <c r="E53" s="302">
        <v>3641.4434</v>
      </c>
      <c r="F53" s="155">
        <v>3600</v>
      </c>
      <c r="G53" s="252">
        <f>E53-D53</f>
        <v>6.891900000000078</v>
      </c>
      <c r="H53" s="155"/>
      <c r="I53" s="155">
        <f>ROUND(F53*G53+H53,0)</f>
        <v>24811</v>
      </c>
      <c r="J53" s="160"/>
      <c r="K53" s="160"/>
      <c r="L53" s="160"/>
      <c r="M53" s="160"/>
      <c r="N53" s="160"/>
      <c r="O53" s="160"/>
      <c r="P53" s="160"/>
      <c r="Q53" s="160"/>
      <c r="R53" s="16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60" t="s">
        <v>556</v>
      </c>
      <c r="AU53" s="120"/>
      <c r="AV53" s="120"/>
      <c r="AW53" s="120"/>
      <c r="AX53" s="120"/>
      <c r="AY53" s="120"/>
      <c r="AZ53" s="120"/>
      <c r="BA53" s="120"/>
      <c r="BB53" s="120"/>
    </row>
    <row r="54" spans="1:54" ht="12.75">
      <c r="A54" s="173"/>
      <c r="B54" s="161" t="s">
        <v>494</v>
      </c>
      <c r="C54" s="213"/>
      <c r="D54" s="302"/>
      <c r="E54" s="302"/>
      <c r="F54" s="155"/>
      <c r="G54" s="252"/>
      <c r="H54" s="96"/>
      <c r="I54" s="155"/>
      <c r="J54" s="160"/>
      <c r="K54" s="160"/>
      <c r="L54" s="160"/>
      <c r="M54" s="160"/>
      <c r="N54" s="160"/>
      <c r="O54" s="160"/>
      <c r="P54" s="160"/>
      <c r="Q54" s="160"/>
      <c r="R54" s="16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60"/>
      <c r="AU54" s="120"/>
      <c r="AV54" s="120"/>
      <c r="AW54" s="120"/>
      <c r="AX54" s="120"/>
      <c r="AY54" s="120"/>
      <c r="AZ54" s="120"/>
      <c r="BA54" s="120"/>
      <c r="BB54" s="120"/>
    </row>
    <row r="55" spans="1:54" ht="12.75">
      <c r="A55" s="173"/>
      <c r="B55" s="161"/>
      <c r="C55" s="210">
        <v>4050284</v>
      </c>
      <c r="D55" s="230">
        <v>3986.0827</v>
      </c>
      <c r="E55" s="230">
        <v>4031.3839</v>
      </c>
      <c r="F55" s="155">
        <v>3600</v>
      </c>
      <c r="G55" s="253">
        <f>E55-D55</f>
        <v>45.30119999999988</v>
      </c>
      <c r="H55" s="96"/>
      <c r="I55" s="155">
        <f>ROUND(F55*G55+H55,0)</f>
        <v>163084</v>
      </c>
      <c r="J55" s="160"/>
      <c r="K55" s="160"/>
      <c r="L55" s="160"/>
      <c r="M55" s="160"/>
      <c r="N55" s="160"/>
      <c r="O55" s="160"/>
      <c r="P55" s="160"/>
      <c r="Q55" s="160"/>
      <c r="R55" s="16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60"/>
      <c r="AU55" s="120"/>
      <c r="AV55" s="120"/>
      <c r="AW55" s="120"/>
      <c r="AX55" s="120"/>
      <c r="AY55" s="120"/>
      <c r="AZ55" s="120"/>
      <c r="BA55" s="120"/>
      <c r="BB55" s="120"/>
    </row>
    <row r="56" spans="1:54" ht="12.75">
      <c r="A56" s="144"/>
      <c r="B56" s="149"/>
      <c r="C56" s="210"/>
      <c r="D56" s="230"/>
      <c r="E56" s="230"/>
      <c r="F56" s="155"/>
      <c r="G56" s="253"/>
      <c r="H56" s="96"/>
      <c r="I56" s="155"/>
      <c r="J56" s="160"/>
      <c r="K56" s="160"/>
      <c r="L56" s="160"/>
      <c r="M56" s="160"/>
      <c r="N56" s="160"/>
      <c r="O56" s="160"/>
      <c r="P56" s="160"/>
      <c r="Q56" s="160"/>
      <c r="R56" s="24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60"/>
      <c r="AU56" s="120"/>
      <c r="AV56" s="120"/>
      <c r="AW56" s="120"/>
      <c r="AX56" s="120"/>
      <c r="AY56" s="120"/>
      <c r="AZ56" s="120"/>
      <c r="BA56" s="120"/>
      <c r="BB56" s="120"/>
    </row>
    <row r="57" spans="1:54" ht="12.75">
      <c r="A57" s="173" t="s">
        <v>252</v>
      </c>
      <c r="B57" s="143" t="s">
        <v>218</v>
      </c>
      <c r="C57" s="152"/>
      <c r="D57" s="211"/>
      <c r="E57" s="211"/>
      <c r="F57" s="155"/>
      <c r="G57" s="212"/>
      <c r="H57" s="96"/>
      <c r="I57" s="155"/>
      <c r="J57" s="160"/>
      <c r="K57" s="120"/>
      <c r="L57" s="120"/>
      <c r="M57" s="120"/>
      <c r="N57" s="120"/>
      <c r="O57" s="120"/>
      <c r="P57" s="120"/>
      <c r="Q57" s="120"/>
      <c r="R57" s="241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60"/>
      <c r="AU57" s="120"/>
      <c r="AV57" s="120"/>
      <c r="AW57" s="120"/>
      <c r="AX57" s="120"/>
      <c r="AY57" s="120"/>
      <c r="AZ57" s="120"/>
      <c r="BA57" s="120"/>
      <c r="BB57" s="271"/>
    </row>
    <row r="58" spans="1:54" ht="12.75">
      <c r="A58" s="307"/>
      <c r="B58" s="173" t="s">
        <v>217</v>
      </c>
      <c r="C58" s="305">
        <v>611127492</v>
      </c>
      <c r="D58" s="302">
        <v>18678.7128</v>
      </c>
      <c r="E58" s="302">
        <v>19039.1548</v>
      </c>
      <c r="F58" s="155">
        <v>20</v>
      </c>
      <c r="G58" s="252">
        <f>E58-D58</f>
        <v>360.4419999999991</v>
      </c>
      <c r="H58" s="155"/>
      <c r="I58" s="155">
        <f>ROUND(F58*G58+H58,0)</f>
        <v>7209</v>
      </c>
      <c r="J58" s="16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60"/>
      <c r="AU58" s="120"/>
      <c r="AV58" s="120" t="s">
        <v>144</v>
      </c>
      <c r="AW58" s="120"/>
      <c r="AX58" s="120"/>
      <c r="AY58" s="120"/>
      <c r="AZ58" s="120"/>
      <c r="BA58" s="120"/>
      <c r="BB58" s="272">
        <f>BA9</f>
        <v>3.531114162414106</v>
      </c>
    </row>
    <row r="59" spans="1:54" ht="12.75">
      <c r="A59" s="145" t="s">
        <v>253</v>
      </c>
      <c r="B59" s="143" t="s">
        <v>485</v>
      </c>
      <c r="C59" s="309"/>
      <c r="D59" s="211"/>
      <c r="E59" s="211"/>
      <c r="F59" s="155"/>
      <c r="G59" s="212"/>
      <c r="H59" s="96"/>
      <c r="I59" s="155"/>
      <c r="J59" s="160"/>
      <c r="K59" s="160"/>
      <c r="L59" s="160"/>
      <c r="M59" s="160"/>
      <c r="N59" s="160"/>
      <c r="O59" s="160"/>
      <c r="P59" s="160"/>
      <c r="Q59" s="160"/>
      <c r="R59" s="16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60"/>
      <c r="AU59" s="120"/>
      <c r="AV59" s="120"/>
      <c r="AW59" s="120"/>
      <c r="AX59" s="120"/>
      <c r="AY59" s="120"/>
      <c r="AZ59" s="120"/>
      <c r="BA59" s="120"/>
      <c r="BB59" s="120"/>
    </row>
    <row r="60" spans="1:54" ht="12.75">
      <c r="A60" s="308"/>
      <c r="B60" s="168" t="s">
        <v>546</v>
      </c>
      <c r="C60" s="305">
        <v>611127702</v>
      </c>
      <c r="D60" s="302">
        <v>30510.3208</v>
      </c>
      <c r="E60" s="302">
        <v>30700.0916</v>
      </c>
      <c r="F60" s="155">
        <v>60</v>
      </c>
      <c r="G60" s="252">
        <f>E60-D60</f>
        <v>189.77079999999842</v>
      </c>
      <c r="H60" s="96"/>
      <c r="I60" s="155">
        <f>ROUND(F60*G60+H60,0)</f>
        <v>11386</v>
      </c>
      <c r="J60" s="160"/>
      <c r="K60" s="160"/>
      <c r="L60" s="160"/>
      <c r="M60" s="160"/>
      <c r="N60" s="160"/>
      <c r="O60" s="160"/>
      <c r="P60" s="160"/>
      <c r="Q60" s="160"/>
      <c r="R60" s="16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60"/>
      <c r="AU60" s="160"/>
      <c r="AV60" s="160"/>
      <c r="AW60" s="160"/>
      <c r="AX60" s="160"/>
      <c r="AY60" s="160"/>
      <c r="AZ60" s="160"/>
      <c r="BA60" s="160"/>
      <c r="BB60" s="160"/>
    </row>
    <row r="61" spans="1:54" ht="13.5">
      <c r="A61" s="159"/>
      <c r="B61" s="168" t="s">
        <v>547</v>
      </c>
      <c r="C61" s="305">
        <v>611127555</v>
      </c>
      <c r="D61" s="302">
        <v>5859.2924</v>
      </c>
      <c r="E61" s="302">
        <v>6426.9304</v>
      </c>
      <c r="F61" s="155">
        <v>60</v>
      </c>
      <c r="G61" s="252">
        <f>E61-D61</f>
        <v>567.6379999999999</v>
      </c>
      <c r="H61" s="96"/>
      <c r="I61" s="155">
        <f>ROUND(F61*G61+H61,0)</f>
        <v>34058</v>
      </c>
      <c r="J61" s="160"/>
      <c r="K61" s="160"/>
      <c r="L61" s="160"/>
      <c r="M61" s="160"/>
      <c r="N61" s="160"/>
      <c r="O61" s="242"/>
      <c r="P61" s="243"/>
      <c r="Q61" s="160"/>
      <c r="R61" s="16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60"/>
      <c r="AU61" s="160"/>
      <c r="AV61" s="160"/>
      <c r="AW61" s="160"/>
      <c r="AX61" s="160"/>
      <c r="AY61" s="242"/>
      <c r="AZ61" s="243"/>
      <c r="BA61" s="160"/>
      <c r="BB61" s="160"/>
    </row>
    <row r="62" spans="1:54" ht="12.75">
      <c r="A62" s="145" t="s">
        <v>258</v>
      </c>
      <c r="B62" s="143" t="s">
        <v>486</v>
      </c>
      <c r="C62" s="310"/>
      <c r="D62" s="232"/>
      <c r="E62" s="232"/>
      <c r="F62" s="155"/>
      <c r="G62" s="212"/>
      <c r="H62" s="96"/>
      <c r="I62" s="155"/>
      <c r="J62" s="160"/>
      <c r="K62" s="160"/>
      <c r="L62" s="160"/>
      <c r="M62" s="160"/>
      <c r="N62" s="160"/>
      <c r="O62" s="160"/>
      <c r="P62" s="160"/>
      <c r="Q62" s="160"/>
      <c r="R62" s="16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60"/>
      <c r="AU62" s="160"/>
      <c r="AV62" s="160"/>
      <c r="AW62" s="160"/>
      <c r="AX62" s="160"/>
      <c r="AY62" s="160"/>
      <c r="AZ62" s="160"/>
      <c r="BA62" s="160"/>
      <c r="BB62" s="160"/>
    </row>
    <row r="63" spans="1:54" ht="12.75" customHeight="1">
      <c r="A63" s="308"/>
      <c r="B63" s="173"/>
      <c r="C63" s="305">
        <v>1110171163</v>
      </c>
      <c r="D63" s="302">
        <v>453.4396</v>
      </c>
      <c r="E63" s="302">
        <v>479.3096</v>
      </c>
      <c r="F63" s="155">
        <v>60</v>
      </c>
      <c r="G63" s="252">
        <f>E63-D63</f>
        <v>25.870000000000005</v>
      </c>
      <c r="H63" s="96"/>
      <c r="I63" s="155">
        <f>ROUND(F63*G63+H63,0)</f>
        <v>1552</v>
      </c>
      <c r="J63" s="243"/>
      <c r="K63" s="160"/>
      <c r="L63" s="160"/>
      <c r="M63" s="160"/>
      <c r="N63" s="160"/>
      <c r="O63" s="160"/>
      <c r="P63" s="189"/>
      <c r="Q63" s="160"/>
      <c r="R63" s="244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243"/>
      <c r="AU63" s="160"/>
      <c r="AV63" s="160"/>
      <c r="AW63" s="160"/>
      <c r="AX63" s="160"/>
      <c r="AY63" s="160"/>
      <c r="AZ63" s="189"/>
      <c r="BA63" s="160"/>
      <c r="BB63" s="244"/>
    </row>
    <row r="64" spans="1:54" ht="12.75">
      <c r="A64" s="159"/>
      <c r="B64" s="173"/>
      <c r="C64" s="305"/>
      <c r="D64" s="302"/>
      <c r="E64" s="302"/>
      <c r="F64" s="155"/>
      <c r="G64" s="252"/>
      <c r="H64" s="96"/>
      <c r="I64" s="155"/>
      <c r="J64" s="243"/>
      <c r="K64" s="160"/>
      <c r="L64" s="160"/>
      <c r="M64" s="160"/>
      <c r="N64" s="160"/>
      <c r="O64" s="160"/>
      <c r="P64" s="189"/>
      <c r="Q64" s="160"/>
      <c r="R64" s="244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243"/>
      <c r="AU64" s="160"/>
      <c r="AV64" s="160"/>
      <c r="AW64" s="160"/>
      <c r="AX64" s="160"/>
      <c r="AY64" s="160"/>
      <c r="AZ64" s="189"/>
      <c r="BA64" s="160"/>
      <c r="BB64" s="244"/>
    </row>
    <row r="65" spans="1:54" ht="12.75">
      <c r="A65" s="145" t="s">
        <v>260</v>
      </c>
      <c r="B65" s="143" t="s">
        <v>487</v>
      </c>
      <c r="C65" s="311"/>
      <c r="D65" s="232"/>
      <c r="E65" s="232"/>
      <c r="F65" s="155"/>
      <c r="G65" s="212"/>
      <c r="H65" s="96"/>
      <c r="I65" s="155"/>
      <c r="J65" s="243"/>
      <c r="K65" s="160"/>
      <c r="L65" s="160"/>
      <c r="M65" s="160"/>
      <c r="N65" s="160"/>
      <c r="O65" s="160"/>
      <c r="P65" s="189"/>
      <c r="Q65" s="160"/>
      <c r="R65" s="244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243"/>
      <c r="AU65" s="160"/>
      <c r="AV65" s="160"/>
      <c r="AW65" s="160"/>
      <c r="AX65" s="160"/>
      <c r="AY65" s="160"/>
      <c r="AZ65" s="189"/>
      <c r="BA65" s="160"/>
      <c r="BB65" s="244"/>
    </row>
    <row r="66" spans="1:54" ht="12.75">
      <c r="A66" s="159"/>
      <c r="B66" s="173"/>
      <c r="C66" s="305">
        <v>1110171170</v>
      </c>
      <c r="D66" s="302">
        <v>114.5764</v>
      </c>
      <c r="E66" s="302">
        <v>121.3356</v>
      </c>
      <c r="F66" s="155">
        <v>40</v>
      </c>
      <c r="G66" s="252">
        <f>E66-D66</f>
        <v>6.759199999999993</v>
      </c>
      <c r="H66" s="155"/>
      <c r="I66" s="155">
        <f>ROUND(F66*G66+H66,0)</f>
        <v>270</v>
      </c>
      <c r="J66" s="243"/>
      <c r="K66" s="160"/>
      <c r="L66" s="160"/>
      <c r="M66" s="160"/>
      <c r="N66" s="160"/>
      <c r="O66" s="160"/>
      <c r="P66" s="189"/>
      <c r="Q66" s="160"/>
      <c r="R66" s="244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243"/>
      <c r="AU66" s="160"/>
      <c r="AV66" s="160"/>
      <c r="AW66" s="160"/>
      <c r="AX66" s="160"/>
      <c r="AY66" s="160"/>
      <c r="AZ66" s="189"/>
      <c r="BA66" s="160"/>
      <c r="BB66" s="244"/>
    </row>
    <row r="67" spans="1:54" ht="12.75">
      <c r="A67" s="159"/>
      <c r="B67" s="173"/>
      <c r="C67" s="305"/>
      <c r="D67" s="302"/>
      <c r="E67" s="302"/>
      <c r="F67" s="155"/>
      <c r="G67" s="252"/>
      <c r="H67" s="155"/>
      <c r="I67" s="155"/>
      <c r="J67" s="16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60"/>
      <c r="AU67" s="160"/>
      <c r="AV67" s="160"/>
      <c r="AW67" s="160"/>
      <c r="AX67" s="160"/>
      <c r="AY67" s="160"/>
      <c r="AZ67" s="160"/>
      <c r="BA67" s="160"/>
      <c r="BB67" s="160"/>
    </row>
    <row r="68" spans="1:54" ht="12.75">
      <c r="A68" s="145" t="s">
        <v>261</v>
      </c>
      <c r="B68" s="143" t="s">
        <v>550</v>
      </c>
      <c r="C68" s="305">
        <v>611126342</v>
      </c>
      <c r="D68" s="302">
        <v>25782.5391</v>
      </c>
      <c r="E68" s="302">
        <v>25782.5391</v>
      </c>
      <c r="F68" s="155">
        <v>1800</v>
      </c>
      <c r="G68" s="252">
        <f>E68-D68</f>
        <v>0</v>
      </c>
      <c r="H68" s="155"/>
      <c r="I68" s="155">
        <f>ROUND(F68*G68+H68,0)</f>
        <v>0</v>
      </c>
      <c r="J68" s="160"/>
      <c r="K68" s="160"/>
      <c r="L68" s="160"/>
      <c r="M68" s="160"/>
      <c r="N68" s="160"/>
      <c r="O68" s="160"/>
      <c r="P68" s="160"/>
      <c r="Q68" s="160"/>
      <c r="R68" s="16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60"/>
      <c r="AU68" s="160"/>
      <c r="AV68" s="160"/>
      <c r="AW68" s="160"/>
      <c r="AX68" s="160"/>
      <c r="AY68" s="160"/>
      <c r="AZ68" s="160"/>
      <c r="BA68" s="160"/>
      <c r="BB68" s="160"/>
    </row>
    <row r="69" spans="1:54" ht="13.5">
      <c r="A69" s="159"/>
      <c r="B69" s="173" t="s">
        <v>551</v>
      </c>
      <c r="C69" s="305">
        <v>611126404</v>
      </c>
      <c r="D69" s="302">
        <v>513.0086</v>
      </c>
      <c r="E69" s="302">
        <v>521.6338</v>
      </c>
      <c r="F69" s="155">
        <v>1800</v>
      </c>
      <c r="G69" s="252">
        <f>E69-D69</f>
        <v>8.62519999999995</v>
      </c>
      <c r="H69" s="155"/>
      <c r="I69" s="155">
        <f>ROUND((F69*G69+H69),0)</f>
        <v>15525</v>
      </c>
      <c r="J69" s="160"/>
      <c r="K69" s="160"/>
      <c r="L69" s="160"/>
      <c r="M69" s="160"/>
      <c r="N69" s="160"/>
      <c r="O69" s="242"/>
      <c r="P69" s="243"/>
      <c r="Q69" s="160"/>
      <c r="R69" s="16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60"/>
      <c r="AU69" s="160"/>
      <c r="AV69" s="160"/>
      <c r="AW69" s="160"/>
      <c r="AX69" s="160"/>
      <c r="AY69" s="242"/>
      <c r="AZ69" s="243"/>
      <c r="BA69" s="160"/>
      <c r="BB69" s="160"/>
    </row>
    <row r="70" spans="1:54" ht="12.75">
      <c r="A70" s="103"/>
      <c r="B70" s="144" t="s">
        <v>509</v>
      </c>
      <c r="C70" s="305">
        <v>611126334</v>
      </c>
      <c r="D70" s="302">
        <v>2.3724</v>
      </c>
      <c r="E70" s="302">
        <v>2.3724</v>
      </c>
      <c r="F70" s="155">
        <v>1800</v>
      </c>
      <c r="G70" s="252">
        <f>E70-D70</f>
        <v>0</v>
      </c>
      <c r="H70" s="96"/>
      <c r="I70" s="155">
        <f>ROUND(F70*G70+H70,0)</f>
        <v>0</v>
      </c>
      <c r="J70" s="160"/>
      <c r="K70" s="160"/>
      <c r="L70" s="160"/>
      <c r="M70" s="160"/>
      <c r="N70" s="160"/>
      <c r="O70" s="160"/>
      <c r="P70" s="160"/>
      <c r="Q70" s="160"/>
      <c r="R70" s="16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60"/>
      <c r="AU70" s="160"/>
      <c r="AV70" s="160"/>
      <c r="AW70" s="160"/>
      <c r="AX70" s="160"/>
      <c r="AY70" s="160"/>
      <c r="AZ70" s="160"/>
      <c r="BA70" s="160"/>
      <c r="BB70" s="160"/>
    </row>
    <row r="71" spans="1:54" ht="12.75">
      <c r="A71" s="159" t="s">
        <v>477</v>
      </c>
      <c r="B71" s="173" t="s">
        <v>488</v>
      </c>
      <c r="C71" s="305">
        <v>611127724</v>
      </c>
      <c r="D71" s="302">
        <v>1713.6596</v>
      </c>
      <c r="E71" s="302">
        <v>1752.1896</v>
      </c>
      <c r="F71" s="155">
        <v>30</v>
      </c>
      <c r="G71" s="252">
        <f>E71-D71</f>
        <v>38.52999999999997</v>
      </c>
      <c r="H71" s="155"/>
      <c r="I71" s="155">
        <f>ROUND(F71*G71+H71,0)</f>
        <v>1156</v>
      </c>
      <c r="J71" s="243"/>
      <c r="K71" s="160"/>
      <c r="L71" s="160"/>
      <c r="M71" s="160"/>
      <c r="N71" s="160"/>
      <c r="O71" s="160"/>
      <c r="P71" s="189"/>
      <c r="Q71" s="160"/>
      <c r="R71" s="244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243"/>
      <c r="AU71" s="160"/>
      <c r="AV71" s="160"/>
      <c r="AW71" s="160"/>
      <c r="AX71" s="160"/>
      <c r="AY71" s="160"/>
      <c r="AZ71" s="189"/>
      <c r="BA71" s="160"/>
      <c r="BB71" s="244"/>
    </row>
    <row r="72" spans="1:54" ht="12.75">
      <c r="A72" s="103"/>
      <c r="B72" s="173" t="s">
        <v>542</v>
      </c>
      <c r="C72" s="305"/>
      <c r="D72" s="306"/>
      <c r="E72" s="306"/>
      <c r="F72" s="155"/>
      <c r="G72" s="212"/>
      <c r="H72" s="155"/>
      <c r="I72" s="155"/>
      <c r="J72" s="243"/>
      <c r="K72" s="160"/>
      <c r="L72" s="160"/>
      <c r="M72" s="160"/>
      <c r="N72" s="160"/>
      <c r="O72" s="160"/>
      <c r="P72" s="189"/>
      <c r="Q72" s="160"/>
      <c r="R72" s="244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243"/>
      <c r="AU72" s="160"/>
      <c r="AV72" s="160"/>
      <c r="AW72" s="160"/>
      <c r="AX72" s="160"/>
      <c r="AY72" s="160"/>
      <c r="AZ72" s="189"/>
      <c r="BA72" s="160"/>
      <c r="BB72" s="244"/>
    </row>
    <row r="73" spans="1:54" ht="12.75">
      <c r="A73" s="96"/>
      <c r="B73" s="312"/>
      <c r="C73" s="171"/>
      <c r="D73" s="212"/>
      <c r="E73" s="212"/>
      <c r="F73" s="155"/>
      <c r="G73" s="212"/>
      <c r="H73" s="155"/>
      <c r="I73" s="155"/>
      <c r="J73" s="243"/>
      <c r="K73" s="160"/>
      <c r="L73" s="160"/>
      <c r="M73" s="160"/>
      <c r="N73" s="160"/>
      <c r="O73" s="160"/>
      <c r="P73" s="189"/>
      <c r="Q73" s="160"/>
      <c r="R73" s="244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243"/>
      <c r="AU73" s="160"/>
      <c r="AV73" s="160"/>
      <c r="AW73" s="160"/>
      <c r="AX73" s="160"/>
      <c r="AY73" s="160"/>
      <c r="AZ73" s="189"/>
      <c r="BA73" s="160"/>
      <c r="BB73" s="244"/>
    </row>
    <row r="74" spans="1:54" ht="12.75">
      <c r="A74" s="103"/>
      <c r="B74" s="148"/>
      <c r="C74" s="150"/>
      <c r="D74" s="150"/>
      <c r="E74" s="150"/>
      <c r="F74" s="150" t="s">
        <v>264</v>
      </c>
      <c r="G74" s="150"/>
      <c r="H74" s="151"/>
      <c r="I74" s="235">
        <f>ROUND((SUM(I50:I69)-I73),0)</f>
        <v>259626</v>
      </c>
      <c r="J74" s="243"/>
      <c r="K74" s="160"/>
      <c r="L74" s="160"/>
      <c r="M74" s="160"/>
      <c r="N74" s="160"/>
      <c r="O74" s="160"/>
      <c r="P74" s="189"/>
      <c r="Q74" s="160"/>
      <c r="R74" s="244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243"/>
      <c r="AU74" s="160"/>
      <c r="AV74" s="160"/>
      <c r="AW74" s="160"/>
      <c r="AX74" s="160"/>
      <c r="AY74" s="160"/>
      <c r="AZ74" s="189"/>
      <c r="BA74" s="160"/>
      <c r="BB74" s="244"/>
    </row>
    <row r="75" spans="1:54" ht="12.75">
      <c r="A75" s="102"/>
      <c r="B75" s="150"/>
      <c r="C75" s="150"/>
      <c r="D75" s="150"/>
      <c r="E75" s="150"/>
      <c r="F75" s="150"/>
      <c r="G75" s="150" t="s">
        <v>265</v>
      </c>
      <c r="H75" s="151"/>
      <c r="I75" s="235">
        <f>ROUND((I18+I20-I47-I74),0)</f>
        <v>5651608</v>
      </c>
      <c r="J75" s="160"/>
      <c r="K75" s="160">
        <f>I18+I20+I22-I47-I74</f>
        <v>5729837</v>
      </c>
      <c r="L75" s="160"/>
      <c r="M75" s="160"/>
      <c r="N75" s="160"/>
      <c r="O75" s="160"/>
      <c r="P75" s="190"/>
      <c r="Q75" s="160"/>
      <c r="R75" s="24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60"/>
      <c r="AU75" s="160"/>
      <c r="AV75" s="160"/>
      <c r="AW75" s="160"/>
      <c r="AX75" s="160"/>
      <c r="AY75" s="160"/>
      <c r="AZ75" s="190"/>
      <c r="BA75" s="160"/>
      <c r="BB75" s="240"/>
    </row>
    <row r="76" spans="1:54" ht="12.75">
      <c r="A76" s="96" t="s">
        <v>272</v>
      </c>
      <c r="B76" s="102" t="s">
        <v>266</v>
      </c>
      <c r="C76" s="150"/>
      <c r="D76" s="150"/>
      <c r="E76" s="150"/>
      <c r="F76" s="150"/>
      <c r="G76" s="150"/>
      <c r="H76" s="150"/>
      <c r="I76" s="151"/>
      <c r="J76" s="160"/>
      <c r="K76" s="160"/>
      <c r="L76" s="160"/>
      <c r="M76" s="160"/>
      <c r="N76" s="160"/>
      <c r="O76" s="160"/>
      <c r="P76" s="190"/>
      <c r="Q76" s="160"/>
      <c r="R76" s="24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60"/>
      <c r="AU76" s="160"/>
      <c r="AV76" s="160"/>
      <c r="AW76" s="160"/>
      <c r="AX76" s="160"/>
      <c r="AY76" s="160"/>
      <c r="AZ76" s="190"/>
      <c r="BA76" s="160"/>
      <c r="BB76" s="240"/>
    </row>
    <row r="77" spans="1:54" ht="12.75">
      <c r="A77" s="143" t="s">
        <v>270</v>
      </c>
      <c r="B77" s="143" t="s">
        <v>267</v>
      </c>
      <c r="C77" s="171">
        <v>18705639</v>
      </c>
      <c r="D77" s="234">
        <v>17838.4</v>
      </c>
      <c r="E77" s="234">
        <v>18046</v>
      </c>
      <c r="F77" s="175">
        <v>30</v>
      </c>
      <c r="G77" s="322">
        <f>E77-D77</f>
        <v>207.59999999999854</v>
      </c>
      <c r="H77" s="143">
        <v>1303</v>
      </c>
      <c r="I77" s="175">
        <f>F77*G77+H77</f>
        <v>7530.999999999956</v>
      </c>
      <c r="J77" s="160"/>
      <c r="K77" s="160"/>
      <c r="L77" s="160"/>
      <c r="M77" s="160"/>
      <c r="N77" s="160"/>
      <c r="O77" s="160"/>
      <c r="P77" s="190"/>
      <c r="Q77" s="160"/>
      <c r="R77" s="24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60"/>
      <c r="AU77" s="160"/>
      <c r="AV77" s="160"/>
      <c r="AW77" s="160"/>
      <c r="AX77" s="160"/>
      <c r="AY77" s="160"/>
      <c r="AZ77" s="190"/>
      <c r="BA77" s="160"/>
      <c r="BB77" s="240"/>
    </row>
    <row r="78" spans="1:54" ht="12.75">
      <c r="A78" s="144"/>
      <c r="B78" s="144" t="s">
        <v>268</v>
      </c>
      <c r="C78" s="169"/>
      <c r="D78" s="144"/>
      <c r="E78" s="144"/>
      <c r="F78" s="164"/>
      <c r="G78" s="144"/>
      <c r="H78" s="144"/>
      <c r="I78" s="144"/>
      <c r="J78" s="160"/>
      <c r="K78" s="160"/>
      <c r="L78" s="160"/>
      <c r="M78" s="160"/>
      <c r="N78" s="160"/>
      <c r="O78" s="160"/>
      <c r="P78" s="190"/>
      <c r="Q78" s="160"/>
      <c r="R78" s="24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60"/>
      <c r="AU78" s="160"/>
      <c r="AV78" s="160"/>
      <c r="AW78" s="160"/>
      <c r="AX78" s="160"/>
      <c r="AY78" s="160"/>
      <c r="AZ78" s="190"/>
      <c r="BA78" s="160"/>
      <c r="BB78" s="240"/>
    </row>
    <row r="79" spans="1:54" ht="12.75">
      <c r="A79" s="143" t="s">
        <v>271</v>
      </c>
      <c r="B79" s="143" t="s">
        <v>269</v>
      </c>
      <c r="C79" s="171">
        <v>18705843</v>
      </c>
      <c r="D79" s="234">
        <v>1070.8</v>
      </c>
      <c r="E79" s="234">
        <v>1070.8</v>
      </c>
      <c r="F79" s="175">
        <v>30</v>
      </c>
      <c r="G79" s="233">
        <f>E79-D79</f>
        <v>0</v>
      </c>
      <c r="H79" s="143">
        <v>0</v>
      </c>
      <c r="I79" s="175">
        <f>F79*G79+H79</f>
        <v>0</v>
      </c>
      <c r="J79" s="160"/>
      <c r="K79" s="160"/>
      <c r="L79" s="160"/>
      <c r="M79" s="160"/>
      <c r="N79" s="160"/>
      <c r="O79" s="160"/>
      <c r="P79" s="190"/>
      <c r="Q79" s="160"/>
      <c r="R79" s="24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60"/>
      <c r="AU79" s="160"/>
      <c r="AV79" s="160"/>
      <c r="AW79" s="160"/>
      <c r="AX79" s="160"/>
      <c r="AY79" s="160"/>
      <c r="AZ79" s="190"/>
      <c r="BA79" s="160"/>
      <c r="BB79" s="240"/>
    </row>
    <row r="80" spans="1:54" ht="12.75">
      <c r="A80" s="144"/>
      <c r="B80" s="144" t="s">
        <v>268</v>
      </c>
      <c r="C80" s="169"/>
      <c r="D80" s="144"/>
      <c r="E80" s="144"/>
      <c r="F80" s="164"/>
      <c r="G80" s="144"/>
      <c r="H80" s="144"/>
      <c r="I80" s="144"/>
      <c r="J80" s="160"/>
      <c r="K80" s="160"/>
      <c r="L80" s="160"/>
      <c r="M80" s="160"/>
      <c r="N80" s="160"/>
      <c r="O80" s="160"/>
      <c r="P80" s="190"/>
      <c r="Q80" s="160"/>
      <c r="R80" s="24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60"/>
      <c r="AU80" s="160"/>
      <c r="AV80" s="160"/>
      <c r="AW80" s="160"/>
      <c r="AX80" s="160"/>
      <c r="AY80" s="160"/>
      <c r="AZ80" s="190"/>
      <c r="BA80" s="160"/>
      <c r="BB80" s="240"/>
    </row>
    <row r="81" spans="1:54" ht="12.75">
      <c r="A81" s="102"/>
      <c r="B81" s="150"/>
      <c r="C81" s="217"/>
      <c r="D81" s="199"/>
      <c r="E81" s="218"/>
      <c r="F81" s="218" t="s">
        <v>273</v>
      </c>
      <c r="G81" s="219"/>
      <c r="H81" s="151"/>
      <c r="I81" s="155">
        <f>I77+I79</f>
        <v>7530.999999999956</v>
      </c>
      <c r="J81" s="243"/>
      <c r="K81" s="160"/>
      <c r="L81" s="160"/>
      <c r="M81" s="160"/>
      <c r="N81" s="160"/>
      <c r="O81" s="160"/>
      <c r="P81" s="189"/>
      <c r="Q81" s="160"/>
      <c r="R81" s="244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243"/>
      <c r="AU81" s="160"/>
      <c r="AV81" s="160"/>
      <c r="AW81" s="160"/>
      <c r="AX81" s="160"/>
      <c r="AY81" s="160"/>
      <c r="AZ81" s="189"/>
      <c r="BA81" s="160"/>
      <c r="BB81" s="244"/>
    </row>
    <row r="82" spans="1:54" ht="12.75">
      <c r="A82" s="102"/>
      <c r="B82" s="150"/>
      <c r="C82" s="217"/>
      <c r="D82" s="199"/>
      <c r="E82" s="218"/>
      <c r="F82" s="218"/>
      <c r="G82" s="219" t="s">
        <v>274</v>
      </c>
      <c r="H82" s="151"/>
      <c r="I82" s="235">
        <f>I75+I81</f>
        <v>5659139</v>
      </c>
      <c r="J82" s="160"/>
      <c r="K82" s="160"/>
      <c r="L82" s="160"/>
      <c r="M82" s="160"/>
      <c r="N82" s="160"/>
      <c r="O82" s="160"/>
      <c r="P82" s="190"/>
      <c r="Q82" s="160"/>
      <c r="R82" s="24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60"/>
      <c r="AU82" s="160"/>
      <c r="AV82" s="160"/>
      <c r="AW82" s="160"/>
      <c r="AX82" s="160"/>
      <c r="AY82" s="160"/>
      <c r="AZ82" s="190"/>
      <c r="BA82" s="160"/>
      <c r="BB82" s="240"/>
    </row>
    <row r="83" spans="1:54" ht="12.75">
      <c r="A83" s="145" t="s">
        <v>275</v>
      </c>
      <c r="B83" s="146"/>
      <c r="C83" s="220"/>
      <c r="D83" s="202"/>
      <c r="E83" s="221"/>
      <c r="F83" s="221"/>
      <c r="G83" s="204"/>
      <c r="H83" s="146"/>
      <c r="I83" s="205"/>
      <c r="J83" s="160"/>
      <c r="K83" s="160"/>
      <c r="L83" s="160"/>
      <c r="M83" s="160"/>
      <c r="N83" s="160"/>
      <c r="O83" s="160"/>
      <c r="P83" s="190"/>
      <c r="Q83" s="160"/>
      <c r="R83" s="24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60"/>
      <c r="AU83" s="160"/>
      <c r="AV83" s="160"/>
      <c r="AW83" s="160"/>
      <c r="AX83" s="160"/>
      <c r="AY83" s="160"/>
      <c r="AZ83" s="190"/>
      <c r="BA83" s="160"/>
      <c r="BB83" s="240"/>
    </row>
    <row r="84" spans="1:54" ht="12.75">
      <c r="A84" s="222" t="s">
        <v>538</v>
      </c>
      <c r="B84" s="223"/>
      <c r="C84" s="223"/>
      <c r="D84" s="191"/>
      <c r="E84" s="148"/>
      <c r="F84" s="148"/>
      <c r="G84" s="148"/>
      <c r="H84" s="148"/>
      <c r="I84" s="209"/>
      <c r="J84" s="160"/>
      <c r="K84" s="160"/>
      <c r="L84" s="160"/>
      <c r="M84" s="160"/>
      <c r="N84" s="160"/>
      <c r="O84" s="160"/>
      <c r="P84" s="190"/>
      <c r="Q84" s="160"/>
      <c r="R84" s="24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60"/>
      <c r="AU84" s="160"/>
      <c r="AV84" s="160"/>
      <c r="AW84" s="160"/>
      <c r="AX84" s="160"/>
      <c r="AY84" s="160"/>
      <c r="AZ84" s="190"/>
      <c r="BA84" s="160"/>
      <c r="BB84" s="240"/>
    </row>
    <row r="85" spans="1:54" ht="12.75">
      <c r="A85" s="160" t="s">
        <v>279</v>
      </c>
      <c r="B85" s="160"/>
      <c r="C85" s="264"/>
      <c r="D85" s="181"/>
      <c r="E85" s="265"/>
      <c r="F85" s="265"/>
      <c r="G85" s="188"/>
      <c r="H85" s="160"/>
      <c r="I85" s="190"/>
      <c r="J85" s="160"/>
      <c r="K85" s="160"/>
      <c r="L85" s="160"/>
      <c r="M85" s="160"/>
      <c r="N85" s="160"/>
      <c r="O85" s="160"/>
      <c r="P85" s="190"/>
      <c r="Q85" s="160"/>
      <c r="R85" s="24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60"/>
      <c r="AU85" s="160"/>
      <c r="AV85" s="160"/>
      <c r="AW85" s="160"/>
      <c r="AX85" s="160"/>
      <c r="AY85" s="160"/>
      <c r="AZ85" s="190"/>
      <c r="BA85" s="160"/>
      <c r="BB85" s="240"/>
    </row>
    <row r="86" spans="1:54" ht="12.75">
      <c r="A86" s="160"/>
      <c r="B86" s="160"/>
      <c r="C86" s="181"/>
      <c r="D86" s="313" t="s">
        <v>280</v>
      </c>
      <c r="E86" s="313"/>
      <c r="F86" s="314"/>
      <c r="G86" s="243"/>
      <c r="H86" s="243"/>
      <c r="I86" s="189"/>
      <c r="J86" s="160"/>
      <c r="K86" s="160"/>
      <c r="L86" s="188"/>
      <c r="M86" s="188"/>
      <c r="N86" s="160"/>
      <c r="O86" s="160"/>
      <c r="P86" s="190"/>
      <c r="Q86" s="160"/>
      <c r="R86" s="24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60"/>
      <c r="AU86" s="160"/>
      <c r="AV86" s="188"/>
      <c r="AW86" s="188"/>
      <c r="AX86" s="160"/>
      <c r="AY86" s="160"/>
      <c r="AZ86" s="190"/>
      <c r="BA86" s="160"/>
      <c r="BB86" s="240"/>
    </row>
    <row r="87" spans="1:54" ht="12.75">
      <c r="A87" s="160"/>
      <c r="B87" s="160"/>
      <c r="C87" s="181"/>
      <c r="D87" s="313" t="s">
        <v>531</v>
      </c>
      <c r="E87" s="313"/>
      <c r="F87" s="314"/>
      <c r="G87" s="243"/>
      <c r="H87" s="243"/>
      <c r="I87" s="189"/>
      <c r="J87" s="243"/>
      <c r="K87" s="160"/>
      <c r="L87" s="160"/>
      <c r="M87" s="160"/>
      <c r="N87" s="160"/>
      <c r="O87" s="160"/>
      <c r="P87" s="189"/>
      <c r="Q87" s="160"/>
      <c r="R87" s="244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243"/>
      <c r="AU87" s="160"/>
      <c r="AV87" s="160"/>
      <c r="AW87" s="160"/>
      <c r="AX87" s="160"/>
      <c r="AY87" s="160"/>
      <c r="AZ87" s="189"/>
      <c r="BA87" s="160"/>
      <c r="BB87" s="244"/>
    </row>
    <row r="88" spans="1:54" ht="12.75">
      <c r="A88" s="160"/>
      <c r="B88" s="160"/>
      <c r="C88" s="264"/>
      <c r="D88" s="313" t="s">
        <v>539</v>
      </c>
      <c r="E88" s="313"/>
      <c r="F88" s="314"/>
      <c r="G88" s="243"/>
      <c r="H88" s="243"/>
      <c r="I88" s="189"/>
      <c r="J88" s="160"/>
      <c r="K88" s="160"/>
      <c r="L88" s="160"/>
      <c r="M88" s="160"/>
      <c r="N88" s="160"/>
      <c r="O88" s="160"/>
      <c r="P88" s="190"/>
      <c r="Q88" s="160"/>
      <c r="R88" s="24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60"/>
      <c r="AU88" s="160"/>
      <c r="AV88" s="160"/>
      <c r="AW88" s="160"/>
      <c r="AX88" s="160"/>
      <c r="AY88" s="160"/>
      <c r="AZ88" s="190"/>
      <c r="BA88" s="160"/>
      <c r="BB88" s="240"/>
    </row>
    <row r="89" spans="1:54" ht="12.75">
      <c r="A89" s="120"/>
      <c r="B89" s="120"/>
      <c r="C89" s="120"/>
      <c r="D89" s="120" t="s">
        <v>192</v>
      </c>
      <c r="E89" s="120"/>
      <c r="F89" s="120"/>
      <c r="G89" s="120"/>
      <c r="H89" s="120"/>
      <c r="I89" s="120"/>
      <c r="J89" s="160"/>
      <c r="K89" s="160"/>
      <c r="L89" s="160"/>
      <c r="M89" s="160"/>
      <c r="N89" s="160"/>
      <c r="O89" s="160"/>
      <c r="P89" s="190"/>
      <c r="Q89" s="160"/>
      <c r="R89" s="24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60" t="s">
        <v>530</v>
      </c>
      <c r="AU89" s="120"/>
      <c r="AV89" s="120"/>
      <c r="AW89" s="120"/>
      <c r="AX89" s="120"/>
      <c r="AY89" s="120"/>
      <c r="AZ89" s="120"/>
      <c r="BA89" s="120"/>
      <c r="BB89" s="120"/>
    </row>
    <row r="90" spans="1:54" ht="12.75">
      <c r="A90" s="120"/>
      <c r="B90" s="120"/>
      <c r="C90" s="120"/>
      <c r="D90" s="120" t="s">
        <v>193</v>
      </c>
      <c r="E90" s="120"/>
      <c r="F90" s="120"/>
      <c r="G90" s="120"/>
      <c r="H90" s="120"/>
      <c r="I90" s="120"/>
      <c r="J90" s="243"/>
      <c r="K90" s="160"/>
      <c r="L90" s="160"/>
      <c r="M90" s="160"/>
      <c r="N90" s="160"/>
      <c r="O90" s="160"/>
      <c r="P90" s="189"/>
      <c r="Q90" s="160"/>
      <c r="R90" s="244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60" t="s">
        <v>535</v>
      </c>
      <c r="AU90" s="120"/>
      <c r="AV90" s="120"/>
      <c r="AW90" s="120"/>
      <c r="AX90" s="120"/>
      <c r="AY90" s="120"/>
      <c r="AZ90" s="120"/>
      <c r="BA90" s="120"/>
      <c r="BB90" s="120"/>
    </row>
    <row r="91" spans="1:54" ht="13.5">
      <c r="A91" s="120"/>
      <c r="B91" s="120"/>
      <c r="C91" s="120"/>
      <c r="D91" s="120"/>
      <c r="E91" s="120"/>
      <c r="F91" s="120"/>
      <c r="G91" s="120"/>
      <c r="H91" s="120"/>
      <c r="I91" s="120"/>
      <c r="J91" s="243"/>
      <c r="K91" s="160"/>
      <c r="L91" s="160"/>
      <c r="M91" s="160"/>
      <c r="N91" s="160"/>
      <c r="O91" s="160"/>
      <c r="P91" s="189"/>
      <c r="Q91" s="160"/>
      <c r="R91" s="244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60"/>
      <c r="AU91" s="120" t="s">
        <v>4</v>
      </c>
      <c r="AV91" s="120"/>
      <c r="AW91" s="120"/>
      <c r="AX91" s="120"/>
      <c r="AY91" s="254" t="s">
        <v>483</v>
      </c>
      <c r="AZ91" s="196" t="s">
        <v>557</v>
      </c>
      <c r="BA91" s="120"/>
      <c r="BB91" s="120"/>
    </row>
    <row r="92" spans="1:54" ht="12.75">
      <c r="A92" s="120"/>
      <c r="B92" s="120"/>
      <c r="C92" s="120" t="s">
        <v>194</v>
      </c>
      <c r="D92" s="120"/>
      <c r="E92" s="120"/>
      <c r="F92" s="120"/>
      <c r="G92" s="120"/>
      <c r="H92" s="120"/>
      <c r="I92" s="120"/>
      <c r="J92" s="243"/>
      <c r="K92" s="160"/>
      <c r="L92" s="160"/>
      <c r="M92" s="160"/>
      <c r="N92" s="160"/>
      <c r="O92" s="160"/>
      <c r="P92" s="189"/>
      <c r="Q92" s="160"/>
      <c r="R92" s="244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50" t="s">
        <v>108</v>
      </c>
      <c r="AU92" s="150"/>
      <c r="AV92" s="150"/>
      <c r="AW92" s="150"/>
      <c r="AX92" s="150"/>
      <c r="AY92" s="151"/>
      <c r="AZ92" s="96" t="s">
        <v>175</v>
      </c>
      <c r="BA92" s="96"/>
      <c r="BB92" s="96" t="s">
        <v>109</v>
      </c>
    </row>
    <row r="93" spans="1:54" ht="12.75">
      <c r="A93" s="120"/>
      <c r="B93" s="120"/>
      <c r="C93" s="120"/>
      <c r="D93" s="277" t="s">
        <v>553</v>
      </c>
      <c r="E93" s="277"/>
      <c r="F93" s="120"/>
      <c r="G93" s="120"/>
      <c r="H93" s="120"/>
      <c r="I93" s="120"/>
      <c r="J93" s="243"/>
      <c r="K93" s="160"/>
      <c r="L93" s="160"/>
      <c r="M93" s="160"/>
      <c r="N93" s="160"/>
      <c r="O93" s="160"/>
      <c r="P93" s="189"/>
      <c r="Q93" s="160"/>
      <c r="R93" s="244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273" t="s">
        <v>301</v>
      </c>
      <c r="AU93" s="150"/>
      <c r="AV93" s="150"/>
      <c r="AW93" s="150"/>
      <c r="AX93" s="150"/>
      <c r="AY93" s="151"/>
      <c r="AZ93" s="235">
        <v>71538</v>
      </c>
      <c r="BA93" s="199"/>
      <c r="BB93" s="299">
        <f>AZ93*BB58</f>
        <v>252608.8449507803</v>
      </c>
    </row>
    <row r="94" spans="1:54" ht="12.75">
      <c r="A94" s="120" t="s">
        <v>528</v>
      </c>
      <c r="B94" s="120"/>
      <c r="C94" s="120"/>
      <c r="D94" s="120"/>
      <c r="E94" s="120"/>
      <c r="F94" s="120"/>
      <c r="G94" s="120"/>
      <c r="H94" s="120"/>
      <c r="I94" s="120"/>
      <c r="J94" s="243"/>
      <c r="K94" s="160"/>
      <c r="L94" s="160"/>
      <c r="M94" s="160"/>
      <c r="N94" s="160"/>
      <c r="O94" s="160"/>
      <c r="P94" s="189"/>
      <c r="Q94" s="160"/>
      <c r="R94" s="244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273" t="s">
        <v>300</v>
      </c>
      <c r="AU94" s="150"/>
      <c r="AV94" s="150"/>
      <c r="AW94" s="150"/>
      <c r="AX94" s="150"/>
      <c r="AY94" s="151"/>
      <c r="AZ94" s="235">
        <f>AZ131-SUM(AZ112:AZ120)-AZ109-AZ103-AZ96-AZ95-AZ93</f>
        <v>4108845</v>
      </c>
      <c r="BA94" s="199"/>
      <c r="BB94" s="299">
        <f>AZ94*BB58</f>
        <v>14508800.770664386</v>
      </c>
    </row>
    <row r="95" spans="1:54" ht="12.75">
      <c r="A95" s="120" t="s">
        <v>196</v>
      </c>
      <c r="B95" s="120"/>
      <c r="C95" s="120"/>
      <c r="D95" s="120"/>
      <c r="E95" s="120"/>
      <c r="F95" s="120"/>
      <c r="G95" s="120"/>
      <c r="H95" s="120"/>
      <c r="I95" s="120"/>
      <c r="J95" s="243"/>
      <c r="K95" s="243"/>
      <c r="L95" s="160"/>
      <c r="M95" s="160"/>
      <c r="N95" s="160"/>
      <c r="O95" s="160"/>
      <c r="P95" s="189"/>
      <c r="Q95" s="160"/>
      <c r="R95" s="244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273" t="s">
        <v>537</v>
      </c>
      <c r="AU95" s="150"/>
      <c r="AV95" s="150"/>
      <c r="AW95" s="150"/>
      <c r="AX95" s="150"/>
      <c r="AY95" s="151"/>
      <c r="AZ95" s="235">
        <v>120458</v>
      </c>
      <c r="BA95" s="199"/>
      <c r="BB95" s="299">
        <f>AZ95*BB58</f>
        <v>425350.94977607834</v>
      </c>
    </row>
    <row r="96" spans="1:54" ht="12.75">
      <c r="A96" s="120" t="s">
        <v>198</v>
      </c>
      <c r="B96" s="120"/>
      <c r="C96" s="120"/>
      <c r="D96" s="120"/>
      <c r="E96" s="120"/>
      <c r="F96" s="120" t="s">
        <v>197</v>
      </c>
      <c r="G96" s="120"/>
      <c r="H96" s="120"/>
      <c r="I96" s="120"/>
      <c r="J96" s="243"/>
      <c r="K96" s="243"/>
      <c r="L96" s="160"/>
      <c r="M96" s="160"/>
      <c r="N96" s="160"/>
      <c r="O96" s="160"/>
      <c r="P96" s="189"/>
      <c r="Q96" s="160"/>
      <c r="R96" s="244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255" t="s">
        <v>85</v>
      </c>
      <c r="AU96" s="146"/>
      <c r="AV96" s="146"/>
      <c r="AW96" s="146"/>
      <c r="AX96" s="146"/>
      <c r="AY96" s="147"/>
      <c r="AZ96" s="300">
        <f>SUM(AZ97:AZ102)</f>
        <v>1021799</v>
      </c>
      <c r="BA96" s="202"/>
      <c r="BB96" s="299">
        <f>AZ96*BB58</f>
        <v>3608088.920040571</v>
      </c>
    </row>
    <row r="97" spans="1:54" ht="12.75">
      <c r="A97" s="143" t="s">
        <v>335</v>
      </c>
      <c r="B97" s="171" t="s">
        <v>199</v>
      </c>
      <c r="C97" s="143" t="s">
        <v>200</v>
      </c>
      <c r="D97" s="224" t="s">
        <v>286</v>
      </c>
      <c r="E97" s="225"/>
      <c r="F97" s="143" t="s">
        <v>201</v>
      </c>
      <c r="G97" s="143" t="s">
        <v>404</v>
      </c>
      <c r="H97" s="143" t="s">
        <v>202</v>
      </c>
      <c r="I97" s="143" t="s">
        <v>191</v>
      </c>
      <c r="J97" s="243"/>
      <c r="K97" s="243"/>
      <c r="L97" s="160"/>
      <c r="M97" s="160"/>
      <c r="N97" s="160"/>
      <c r="O97" s="160"/>
      <c r="P97" s="189"/>
      <c r="Q97" s="160"/>
      <c r="R97" s="244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59" t="s">
        <v>87</v>
      </c>
      <c r="AU97" s="160"/>
      <c r="AV97" s="160"/>
      <c r="AW97" s="160"/>
      <c r="AX97" s="160"/>
      <c r="AY97" s="161"/>
      <c r="AZ97" s="163">
        <v>364407</v>
      </c>
      <c r="BA97" s="181"/>
      <c r="BB97" s="299">
        <f>AZ97*BB58</f>
        <v>1286762.7185828371</v>
      </c>
    </row>
    <row r="98" spans="1:54" ht="12.75">
      <c r="A98" s="173"/>
      <c r="B98" s="173"/>
      <c r="C98" s="173"/>
      <c r="D98" s="143" t="s">
        <v>203</v>
      </c>
      <c r="E98" s="145" t="s">
        <v>204</v>
      </c>
      <c r="F98" s="173" t="s">
        <v>205</v>
      </c>
      <c r="G98" s="173" t="s">
        <v>190</v>
      </c>
      <c r="H98" s="173"/>
      <c r="I98" s="173" t="s">
        <v>206</v>
      </c>
      <c r="J98" s="243"/>
      <c r="K98" s="243"/>
      <c r="L98" s="160"/>
      <c r="M98" s="160"/>
      <c r="N98" s="160"/>
      <c r="O98" s="160"/>
      <c r="P98" s="189"/>
      <c r="Q98" s="160"/>
      <c r="R98" s="244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59" t="s">
        <v>88</v>
      </c>
      <c r="AU98" s="160"/>
      <c r="AV98" s="160"/>
      <c r="AW98" s="160"/>
      <c r="AX98" s="160"/>
      <c r="AY98" s="161"/>
      <c r="AZ98" s="163">
        <v>515516</v>
      </c>
      <c r="BA98" s="181"/>
      <c r="BB98" s="299">
        <f>AZ98*BB58</f>
        <v>1820345.84855107</v>
      </c>
    </row>
    <row r="99" spans="1:54" ht="12.75">
      <c r="A99" s="144"/>
      <c r="B99" s="144"/>
      <c r="C99" s="144"/>
      <c r="D99" s="144" t="s">
        <v>207</v>
      </c>
      <c r="E99" s="103" t="s">
        <v>207</v>
      </c>
      <c r="F99" s="144" t="s">
        <v>208</v>
      </c>
      <c r="G99" s="144"/>
      <c r="H99" s="144"/>
      <c r="I99" s="144"/>
      <c r="J99" s="160"/>
      <c r="K99" s="160"/>
      <c r="L99" s="160"/>
      <c r="M99" s="160"/>
      <c r="N99" s="160"/>
      <c r="O99" s="160"/>
      <c r="P99" s="189"/>
      <c r="Q99" s="160"/>
      <c r="R99" s="244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59" t="s">
        <v>89</v>
      </c>
      <c r="AU99" s="160"/>
      <c r="AV99" s="160"/>
      <c r="AW99" s="160"/>
      <c r="AX99" s="160"/>
      <c r="AY99" s="161"/>
      <c r="AZ99" s="163">
        <v>137902</v>
      </c>
      <c r="BA99" s="181"/>
      <c r="BB99" s="299">
        <f>AZ99*BB58</f>
        <v>486947.70522523</v>
      </c>
    </row>
    <row r="100" spans="1:54" ht="12.75">
      <c r="A100" s="152">
        <v>1</v>
      </c>
      <c r="B100" s="152">
        <v>2</v>
      </c>
      <c r="C100" s="152">
        <v>3</v>
      </c>
      <c r="D100" s="152">
        <v>4</v>
      </c>
      <c r="E100" s="152">
        <v>5</v>
      </c>
      <c r="F100" s="152">
        <v>6</v>
      </c>
      <c r="G100" s="152">
        <v>7</v>
      </c>
      <c r="H100" s="152">
        <v>8</v>
      </c>
      <c r="I100" s="152">
        <v>9</v>
      </c>
      <c r="J100" s="160"/>
      <c r="K100" s="160"/>
      <c r="L100" s="160"/>
      <c r="M100" s="160"/>
      <c r="N100" s="160"/>
      <c r="O100" s="160"/>
      <c r="P100" s="189"/>
      <c r="Q100" s="160"/>
      <c r="R100" s="244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59" t="s">
        <v>90</v>
      </c>
      <c r="AU100" s="160"/>
      <c r="AV100" s="160"/>
      <c r="AW100" s="160"/>
      <c r="AX100" s="160"/>
      <c r="AY100" s="161"/>
      <c r="AZ100" s="163">
        <v>400</v>
      </c>
      <c r="BA100" s="181"/>
      <c r="BB100" s="299">
        <f>AZ100*BB58</f>
        <v>1412.4456649656422</v>
      </c>
    </row>
    <row r="101" spans="1:54" ht="12.75">
      <c r="A101" s="103"/>
      <c r="B101" s="148"/>
      <c r="C101" s="320" t="s">
        <v>287</v>
      </c>
      <c r="D101" s="320"/>
      <c r="E101" s="148"/>
      <c r="F101" s="148"/>
      <c r="G101" s="148"/>
      <c r="H101" s="148"/>
      <c r="I101" s="149"/>
      <c r="J101" s="160"/>
      <c r="K101" s="160"/>
      <c r="L101" s="160"/>
      <c r="M101" s="160"/>
      <c r="N101" s="160"/>
      <c r="O101" s="160"/>
      <c r="P101" s="189"/>
      <c r="Q101" s="160"/>
      <c r="R101" s="244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59" t="s">
        <v>91</v>
      </c>
      <c r="AU101" s="160"/>
      <c r="AV101" s="160"/>
      <c r="AW101" s="160"/>
      <c r="AX101" s="160"/>
      <c r="AY101" s="161"/>
      <c r="AZ101" s="163">
        <v>2474</v>
      </c>
      <c r="BA101" s="181"/>
      <c r="BB101" s="299">
        <f>AZ101*BB58</f>
        <v>8735.976437812498</v>
      </c>
    </row>
    <row r="102" spans="1:54" ht="12.75">
      <c r="A102" s="96"/>
      <c r="B102" s="102" t="s">
        <v>526</v>
      </c>
      <c r="C102" s="150"/>
      <c r="D102" s="150"/>
      <c r="E102" s="150"/>
      <c r="F102" s="150"/>
      <c r="G102" s="150"/>
      <c r="H102" s="150"/>
      <c r="I102" s="151"/>
      <c r="J102" s="160"/>
      <c r="K102" s="160"/>
      <c r="L102" s="160"/>
      <c r="M102" s="160"/>
      <c r="N102" s="160"/>
      <c r="O102" s="160"/>
      <c r="P102" s="189"/>
      <c r="Q102" s="160"/>
      <c r="R102" s="244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03" t="s">
        <v>41</v>
      </c>
      <c r="AU102" s="148"/>
      <c r="AV102" s="148"/>
      <c r="AW102" s="148"/>
      <c r="AX102" s="148"/>
      <c r="AY102" s="149"/>
      <c r="AZ102" s="164">
        <v>1100</v>
      </c>
      <c r="BA102" s="191"/>
      <c r="BB102" s="299">
        <f>AZ102*BB58</f>
        <v>3884.2255786555165</v>
      </c>
    </row>
    <row r="103" spans="1:54" ht="12.75">
      <c r="A103" s="171">
        <v>1</v>
      </c>
      <c r="B103" s="143" t="s">
        <v>249</v>
      </c>
      <c r="C103" s="197">
        <v>804152757</v>
      </c>
      <c r="D103" s="230">
        <v>1932.3661</v>
      </c>
      <c r="E103" s="230">
        <v>1980.3186</v>
      </c>
      <c r="F103" s="155">
        <v>36000</v>
      </c>
      <c r="G103" s="252">
        <f>E103-D103</f>
        <v>47.9525000000001</v>
      </c>
      <c r="H103" s="96"/>
      <c r="I103" s="155">
        <f>F103*G103+H103</f>
        <v>1726290.0000000035</v>
      </c>
      <c r="J103" s="160"/>
      <c r="K103" s="160"/>
      <c r="L103" s="160"/>
      <c r="M103" s="160"/>
      <c r="N103" s="160"/>
      <c r="O103" s="160"/>
      <c r="P103" s="189"/>
      <c r="Q103" s="160"/>
      <c r="R103" s="244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255" t="s">
        <v>303</v>
      </c>
      <c r="AU103" s="146"/>
      <c r="AV103" s="146"/>
      <c r="AW103" s="146"/>
      <c r="AX103" s="146"/>
      <c r="AY103" s="147"/>
      <c r="AZ103" s="300">
        <f>SUM(AZ104:AZ108)</f>
        <v>13528</v>
      </c>
      <c r="BA103" s="202"/>
      <c r="BB103" s="299">
        <f>AZ103*BB58</f>
        <v>47768.91238913802</v>
      </c>
    </row>
    <row r="104" spans="1:54" ht="12.75">
      <c r="A104" s="144"/>
      <c r="B104" s="103" t="s">
        <v>250</v>
      </c>
      <c r="C104" s="213">
        <v>109054169</v>
      </c>
      <c r="D104" s="230">
        <v>2419.7296</v>
      </c>
      <c r="E104" s="230">
        <v>2474.7557</v>
      </c>
      <c r="F104" s="155">
        <v>36000</v>
      </c>
      <c r="G104" s="252">
        <f>E104-D104</f>
        <v>55.02610000000004</v>
      </c>
      <c r="H104" s="96"/>
      <c r="I104" s="155">
        <f>F104*G104+H104</f>
        <v>1980939.6000000015</v>
      </c>
      <c r="J104" s="160"/>
      <c r="K104" s="160"/>
      <c r="L104" s="188"/>
      <c r="M104" s="188"/>
      <c r="N104" s="160"/>
      <c r="O104" s="160"/>
      <c r="P104" s="189"/>
      <c r="Q104" s="160"/>
      <c r="R104" s="244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59"/>
      <c r="AU104" s="160" t="s">
        <v>389</v>
      </c>
      <c r="AV104" s="160"/>
      <c r="AW104" s="160"/>
      <c r="AX104" s="160"/>
      <c r="AY104" s="161"/>
      <c r="AZ104" s="163">
        <v>2800</v>
      </c>
      <c r="BA104" s="181"/>
      <c r="BB104" s="299">
        <f>AZ104*BB58</f>
        <v>9887.119654759495</v>
      </c>
    </row>
    <row r="105" spans="1:54" ht="12.75">
      <c r="A105" s="102"/>
      <c r="B105" s="150"/>
      <c r="C105" s="148"/>
      <c r="D105" s="150"/>
      <c r="E105" s="150"/>
      <c r="F105" s="214" t="s">
        <v>212</v>
      </c>
      <c r="G105" s="150"/>
      <c r="H105" s="151"/>
      <c r="I105" s="155">
        <f>I103+I104</f>
        <v>3707229.600000005</v>
      </c>
      <c r="J105" s="160"/>
      <c r="K105" s="160"/>
      <c r="L105" s="160"/>
      <c r="M105" s="160"/>
      <c r="N105" s="160"/>
      <c r="O105" s="160"/>
      <c r="P105" s="190"/>
      <c r="Q105" s="160"/>
      <c r="R105" s="16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59" t="s">
        <v>385</v>
      </c>
      <c r="AU105" s="160"/>
      <c r="AV105" s="160" t="s">
        <v>304</v>
      </c>
      <c r="AW105" s="160"/>
      <c r="AX105" s="160"/>
      <c r="AY105" s="161"/>
      <c r="AZ105" s="163">
        <v>4560</v>
      </c>
      <c r="BA105" s="181"/>
      <c r="BB105" s="299">
        <f>AZ105*BB58</f>
        <v>16101.880580608322</v>
      </c>
    </row>
    <row r="106" spans="1:54" ht="12.75">
      <c r="A106" s="96" t="s">
        <v>213</v>
      </c>
      <c r="B106" s="102" t="s">
        <v>214</v>
      </c>
      <c r="C106" s="150"/>
      <c r="D106" s="150"/>
      <c r="E106" s="150"/>
      <c r="F106" s="150"/>
      <c r="G106" s="150"/>
      <c r="H106" s="150"/>
      <c r="I106" s="151"/>
      <c r="J106" s="160"/>
      <c r="K106" s="160"/>
      <c r="L106" s="160"/>
      <c r="M106" s="160"/>
      <c r="N106" s="160"/>
      <c r="O106" s="160"/>
      <c r="P106" s="190"/>
      <c r="Q106" s="160"/>
      <c r="R106" s="16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59" t="s">
        <v>385</v>
      </c>
      <c r="AU106" s="160"/>
      <c r="AV106" s="160" t="s">
        <v>390</v>
      </c>
      <c r="AW106" s="160"/>
      <c r="AX106" s="160"/>
      <c r="AY106" s="161"/>
      <c r="AZ106" s="163">
        <v>50</v>
      </c>
      <c r="BA106" s="181"/>
      <c r="BB106" s="299">
        <f>AZ106*BB58</f>
        <v>176.55570812070528</v>
      </c>
    </row>
    <row r="107" spans="1:54" ht="12.75">
      <c r="A107" s="96" t="s">
        <v>215</v>
      </c>
      <c r="B107" s="96" t="s">
        <v>216</v>
      </c>
      <c r="C107" s="213">
        <v>109053225</v>
      </c>
      <c r="D107" s="230">
        <v>7114.3666</v>
      </c>
      <c r="E107" s="230">
        <v>7162.955</v>
      </c>
      <c r="F107" s="155">
        <v>21000</v>
      </c>
      <c r="G107" s="252">
        <f>E107-D107</f>
        <v>48.58839999999964</v>
      </c>
      <c r="H107" s="96"/>
      <c r="I107" s="155">
        <f>F107*G107+H107</f>
        <v>1020356.3999999923</v>
      </c>
      <c r="J107" s="160"/>
      <c r="K107" s="160"/>
      <c r="L107" s="160"/>
      <c r="M107" s="160"/>
      <c r="N107" s="160"/>
      <c r="O107" s="160"/>
      <c r="P107" s="190"/>
      <c r="Q107" s="160"/>
      <c r="R107" s="16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60"/>
      <c r="AU107" s="160"/>
      <c r="AV107" s="160" t="s">
        <v>391</v>
      </c>
      <c r="AW107" s="160"/>
      <c r="AX107" s="160"/>
      <c r="AY107" s="160"/>
      <c r="AZ107" s="163">
        <v>100</v>
      </c>
      <c r="BA107" s="168"/>
      <c r="BB107" s="299">
        <f>AZ107*BB58</f>
        <v>353.11141624141055</v>
      </c>
    </row>
    <row r="108" spans="1:54" ht="12.75">
      <c r="A108" s="96" t="s">
        <v>521</v>
      </c>
      <c r="B108" s="150" t="s">
        <v>524</v>
      </c>
      <c r="C108" s="148"/>
      <c r="D108" s="150"/>
      <c r="E108" s="150"/>
      <c r="F108" s="214"/>
      <c r="G108" s="150"/>
      <c r="H108" s="151"/>
      <c r="I108" s="155"/>
      <c r="J108" s="160"/>
      <c r="K108" s="160"/>
      <c r="L108" s="160"/>
      <c r="M108" s="160"/>
      <c r="N108" s="160"/>
      <c r="O108" s="160"/>
      <c r="P108" s="190"/>
      <c r="Q108" s="160"/>
      <c r="R108" s="16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03" t="s">
        <v>155</v>
      </c>
      <c r="AU108" s="148"/>
      <c r="AV108" s="208"/>
      <c r="AW108" s="208"/>
      <c r="AX108" s="148"/>
      <c r="AY108" s="149"/>
      <c r="AZ108" s="164">
        <v>6018</v>
      </c>
      <c r="BA108" s="191"/>
      <c r="BB108" s="299">
        <f>AZ108*BB58</f>
        <v>21250.245029408088</v>
      </c>
    </row>
    <row r="109" spans="1:54" ht="12.75">
      <c r="A109" s="96" t="s">
        <v>522</v>
      </c>
      <c r="B109" s="102" t="s">
        <v>525</v>
      </c>
      <c r="C109" s="150"/>
      <c r="D109" s="150"/>
      <c r="E109" s="150"/>
      <c r="F109" s="150"/>
      <c r="G109" s="150"/>
      <c r="H109" s="151"/>
      <c r="I109" s="280"/>
      <c r="J109" s="160"/>
      <c r="K109" s="160"/>
      <c r="L109" s="160"/>
      <c r="M109" s="160"/>
      <c r="N109" s="160"/>
      <c r="O109" s="160"/>
      <c r="P109" s="190"/>
      <c r="Q109" s="160"/>
      <c r="R109" s="244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255" t="s">
        <v>536</v>
      </c>
      <c r="AU109" s="146"/>
      <c r="AV109" s="146"/>
      <c r="AW109" s="146"/>
      <c r="AX109" s="146"/>
      <c r="AY109" s="147"/>
      <c r="AZ109" s="300">
        <f>AZ110+AZ111</f>
        <v>139494</v>
      </c>
      <c r="BA109" s="202"/>
      <c r="BB109" s="299">
        <f>AZ109*BB58</f>
        <v>492569.23897179327</v>
      </c>
    </row>
    <row r="110" spans="1:54" ht="12.75">
      <c r="A110" s="102" t="s">
        <v>523</v>
      </c>
      <c r="B110" s="102"/>
      <c r="C110" s="371"/>
      <c r="D110" s="372"/>
      <c r="E110" s="372"/>
      <c r="F110" s="373"/>
      <c r="G110" s="374"/>
      <c r="H110" s="151"/>
      <c r="I110" s="280"/>
      <c r="J110" s="160"/>
      <c r="K110" s="160"/>
      <c r="L110" s="160"/>
      <c r="M110" s="160"/>
      <c r="N110" s="160"/>
      <c r="O110" s="160"/>
      <c r="P110" s="190"/>
      <c r="Q110" s="160"/>
      <c r="R110" s="16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59" t="s">
        <v>93</v>
      </c>
      <c r="AU110" s="160"/>
      <c r="AV110" s="160"/>
      <c r="AW110" s="160"/>
      <c r="AX110" s="160"/>
      <c r="AY110" s="161"/>
      <c r="AZ110" s="163">
        <v>13057</v>
      </c>
      <c r="BA110" s="181"/>
      <c r="BB110" s="299">
        <f>AZ110*BB58</f>
        <v>46105.75761864098</v>
      </c>
    </row>
    <row r="111" spans="1:54" ht="12.75">
      <c r="A111" s="96" t="s">
        <v>219</v>
      </c>
      <c r="B111" s="102" t="s">
        <v>220</v>
      </c>
      <c r="C111" s="150"/>
      <c r="D111" s="150"/>
      <c r="E111" s="150"/>
      <c r="F111" s="150"/>
      <c r="G111" s="150"/>
      <c r="H111" s="150"/>
      <c r="I111" s="151"/>
      <c r="J111" s="160"/>
      <c r="K111" s="160"/>
      <c r="L111" s="160"/>
      <c r="M111" s="160"/>
      <c r="N111" s="160"/>
      <c r="O111" s="160"/>
      <c r="P111" s="160"/>
      <c r="Q111" s="160"/>
      <c r="R111" s="16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03" t="s">
        <v>94</v>
      </c>
      <c r="AU111" s="148"/>
      <c r="AV111" s="148"/>
      <c r="AW111" s="148"/>
      <c r="AX111" s="148"/>
      <c r="AY111" s="149"/>
      <c r="AZ111" s="164">
        <v>126437</v>
      </c>
      <c r="BA111" s="191"/>
      <c r="BB111" s="299">
        <f>AZ111*BB58</f>
        <v>446463.4813531523</v>
      </c>
    </row>
    <row r="112" spans="1:54" ht="12.75">
      <c r="A112" s="143" t="s">
        <v>221</v>
      </c>
      <c r="B112" s="143" t="s">
        <v>224</v>
      </c>
      <c r="C112" s="197"/>
      <c r="D112" s="171"/>
      <c r="E112" s="171"/>
      <c r="F112" s="175"/>
      <c r="G112" s="171"/>
      <c r="H112" s="171"/>
      <c r="I112" s="171"/>
      <c r="J112" s="160"/>
      <c r="K112" s="160"/>
      <c r="L112" s="160"/>
      <c r="M112" s="160"/>
      <c r="N112" s="160"/>
      <c r="O112" s="160"/>
      <c r="P112" s="160"/>
      <c r="Q112" s="160"/>
      <c r="R112" s="16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273" t="s">
        <v>392</v>
      </c>
      <c r="AU112" s="150"/>
      <c r="AV112" s="150"/>
      <c r="AW112" s="150"/>
      <c r="AX112" s="150"/>
      <c r="AY112" s="151"/>
      <c r="AZ112" s="235">
        <v>23000</v>
      </c>
      <c r="BA112" s="199"/>
      <c r="BB112" s="299">
        <f>AZ112*BB58</f>
        <v>81215.62573552443</v>
      </c>
    </row>
    <row r="113" spans="1:54" ht="12.75">
      <c r="A113" s="144"/>
      <c r="B113" s="144" t="s">
        <v>222</v>
      </c>
      <c r="C113" s="198">
        <v>109056121</v>
      </c>
      <c r="D113" s="323">
        <v>6293.9529</v>
      </c>
      <c r="E113" s="323">
        <v>6325.0075</v>
      </c>
      <c r="F113" s="164">
        <v>4800</v>
      </c>
      <c r="G113" s="324">
        <f aca="true" t="shared" si="5" ref="G113:G132">E113-D113</f>
        <v>31.054599999999482</v>
      </c>
      <c r="H113" s="164"/>
      <c r="I113" s="164">
        <f>F113*G113+H113</f>
        <v>149062.0799999975</v>
      </c>
      <c r="J113" s="160"/>
      <c r="K113" s="160"/>
      <c r="L113" s="160"/>
      <c r="M113" s="160"/>
      <c r="N113" s="160"/>
      <c r="O113" s="160"/>
      <c r="P113" s="160"/>
      <c r="Q113" s="160"/>
      <c r="R113" s="16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273" t="s">
        <v>154</v>
      </c>
      <c r="AU113" s="150"/>
      <c r="AV113" s="150"/>
      <c r="AW113" s="150"/>
      <c r="AX113" s="150"/>
      <c r="AY113" s="151"/>
      <c r="AZ113" s="235">
        <v>23864</v>
      </c>
      <c r="BA113" s="199"/>
      <c r="BB113" s="299">
        <f>AZ113*BB58</f>
        <v>84266.50837185021</v>
      </c>
    </row>
    <row r="114" spans="1:54" ht="12.75">
      <c r="A114" s="143" t="s">
        <v>223</v>
      </c>
      <c r="B114" s="143" t="s">
        <v>235</v>
      </c>
      <c r="C114" s="197">
        <v>623125232</v>
      </c>
      <c r="D114" s="325">
        <v>2831.8422</v>
      </c>
      <c r="E114" s="325">
        <v>2870.5851</v>
      </c>
      <c r="F114" s="175">
        <v>1800</v>
      </c>
      <c r="G114" s="326">
        <f t="shared" si="5"/>
        <v>38.742899999999736</v>
      </c>
      <c r="H114" s="171"/>
      <c r="I114" s="175">
        <f>G114*F114</f>
        <v>69737.21999999952</v>
      </c>
      <c r="J114" s="160"/>
      <c r="K114" s="160"/>
      <c r="L114" s="160"/>
      <c r="M114" s="160"/>
      <c r="N114" s="160"/>
      <c r="O114" s="160"/>
      <c r="P114" s="160"/>
      <c r="Q114" s="160"/>
      <c r="R114" s="16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273" t="s">
        <v>362</v>
      </c>
      <c r="AU114" s="150"/>
      <c r="AV114" s="150"/>
      <c r="AW114" s="150"/>
      <c r="AX114" s="150"/>
      <c r="AY114" s="151"/>
      <c r="AZ114" s="235">
        <v>12471</v>
      </c>
      <c r="BA114" s="199"/>
      <c r="BB114" s="299">
        <f>AZ114*BB58</f>
        <v>44036.52471946632</v>
      </c>
    </row>
    <row r="115" spans="1:54" ht="12.75">
      <c r="A115" s="144"/>
      <c r="B115" s="144" t="s">
        <v>222</v>
      </c>
      <c r="C115" s="169"/>
      <c r="D115" s="228"/>
      <c r="E115" s="228"/>
      <c r="F115" s="164"/>
      <c r="G115" s="227"/>
      <c r="H115" s="169"/>
      <c r="I115" s="164"/>
      <c r="J115" s="160"/>
      <c r="K115" s="160"/>
      <c r="L115" s="160"/>
      <c r="M115" s="160"/>
      <c r="N115" s="160"/>
      <c r="O115" s="160"/>
      <c r="P115" s="160"/>
      <c r="Q115" s="160"/>
      <c r="R115" s="16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273" t="s">
        <v>297</v>
      </c>
      <c r="AU115" s="150"/>
      <c r="AV115" s="150"/>
      <c r="AW115" s="150"/>
      <c r="AX115" s="150"/>
      <c r="AY115" s="151"/>
      <c r="AZ115" s="235">
        <v>2972</v>
      </c>
      <c r="BA115" s="199"/>
      <c r="BB115" s="299">
        <f>AZ115*BB58</f>
        <v>10494.471290694722</v>
      </c>
    </row>
    <row r="116" spans="1:54" ht="12.75">
      <c r="A116" s="143" t="s">
        <v>225</v>
      </c>
      <c r="B116" s="143" t="s">
        <v>236</v>
      </c>
      <c r="C116" s="197">
        <v>623125667</v>
      </c>
      <c r="D116" s="325">
        <v>3192.4246</v>
      </c>
      <c r="E116" s="325">
        <v>3241.6483</v>
      </c>
      <c r="F116" s="175">
        <v>1800</v>
      </c>
      <c r="G116" s="326">
        <f t="shared" si="5"/>
        <v>49.22370000000001</v>
      </c>
      <c r="H116" s="171"/>
      <c r="I116" s="175">
        <f>G116*F116</f>
        <v>88602.66000000002</v>
      </c>
      <c r="J116" s="160"/>
      <c r="K116" s="160"/>
      <c r="L116" s="160"/>
      <c r="M116" s="160"/>
      <c r="N116" s="160"/>
      <c r="O116" s="160"/>
      <c r="P116" s="160"/>
      <c r="Q116" s="160"/>
      <c r="R116" s="16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273" t="s">
        <v>6</v>
      </c>
      <c r="AU116" s="150"/>
      <c r="AV116" s="150"/>
      <c r="AW116" s="150"/>
      <c r="AX116" s="150"/>
      <c r="AY116" s="151"/>
      <c r="AZ116" s="235">
        <v>35000</v>
      </c>
      <c r="BA116" s="199"/>
      <c r="BB116" s="299">
        <f>AZ116*BB58</f>
        <v>123588.9956844937</v>
      </c>
    </row>
    <row r="117" spans="1:54" ht="12.75">
      <c r="A117" s="144"/>
      <c r="B117" s="144" t="s">
        <v>222</v>
      </c>
      <c r="C117" s="169"/>
      <c r="D117" s="228"/>
      <c r="E117" s="228"/>
      <c r="F117" s="164"/>
      <c r="G117" s="227"/>
      <c r="H117" s="169"/>
      <c r="I117" s="164"/>
      <c r="J117" s="160"/>
      <c r="K117" s="160"/>
      <c r="L117" s="160"/>
      <c r="M117" s="160"/>
      <c r="N117" s="160"/>
      <c r="O117" s="160"/>
      <c r="P117" s="160"/>
      <c r="Q117" s="160"/>
      <c r="R117" s="16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273" t="s">
        <v>21</v>
      </c>
      <c r="AU117" s="214"/>
      <c r="AV117" s="150"/>
      <c r="AW117" s="150"/>
      <c r="AX117" s="150"/>
      <c r="AY117" s="151"/>
      <c r="AZ117" s="235">
        <v>9000</v>
      </c>
      <c r="BA117" s="199"/>
      <c r="BB117" s="299">
        <f>AZ117*BB58</f>
        <v>31780.027461726953</v>
      </c>
    </row>
    <row r="118" spans="1:54" ht="12.75">
      <c r="A118" s="143" t="s">
        <v>226</v>
      </c>
      <c r="B118" s="143" t="s">
        <v>237</v>
      </c>
      <c r="C118" s="197">
        <v>623126370</v>
      </c>
      <c r="D118" s="325">
        <v>656.3448</v>
      </c>
      <c r="E118" s="325">
        <v>661.0295</v>
      </c>
      <c r="F118" s="175">
        <v>4800</v>
      </c>
      <c r="G118" s="326">
        <f t="shared" si="5"/>
        <v>4.684700000000021</v>
      </c>
      <c r="H118" s="171"/>
      <c r="I118" s="175">
        <f>G118*F118</f>
        <v>22486.5600000001</v>
      </c>
      <c r="J118" s="160"/>
      <c r="K118" s="160"/>
      <c r="L118" s="160"/>
      <c r="M118" s="160"/>
      <c r="N118" s="160"/>
      <c r="O118" s="160"/>
      <c r="P118" s="160"/>
      <c r="Q118" s="160"/>
      <c r="R118" s="16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273" t="s">
        <v>388</v>
      </c>
      <c r="AU118" s="214"/>
      <c r="AV118" s="150"/>
      <c r="AW118" s="150"/>
      <c r="AX118" s="150"/>
      <c r="AY118" s="151"/>
      <c r="AZ118" s="235">
        <v>50</v>
      </c>
      <c r="BA118" s="199"/>
      <c r="BB118" s="299">
        <f>AZ118*BB58</f>
        <v>176.55570812070528</v>
      </c>
    </row>
    <row r="119" spans="1:54" ht="12.75">
      <c r="A119" s="144"/>
      <c r="B119" s="144" t="s">
        <v>222</v>
      </c>
      <c r="C119" s="169"/>
      <c r="D119" s="228"/>
      <c r="E119" s="228"/>
      <c r="F119" s="164"/>
      <c r="G119" s="227"/>
      <c r="H119" s="169"/>
      <c r="I119" s="164"/>
      <c r="J119" s="160"/>
      <c r="K119" s="160"/>
      <c r="L119" s="160"/>
      <c r="M119" s="160"/>
      <c r="N119" s="160"/>
      <c r="O119" s="160"/>
      <c r="P119" s="160"/>
      <c r="Q119" s="160"/>
      <c r="R119" s="16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273" t="s">
        <v>365</v>
      </c>
      <c r="AU119" s="214"/>
      <c r="AV119" s="150"/>
      <c r="AW119" s="150"/>
      <c r="AX119" s="150"/>
      <c r="AY119" s="151"/>
      <c r="AZ119" s="235">
        <v>77120</v>
      </c>
      <c r="BA119" s="199"/>
      <c r="BB119" s="299">
        <f>AZ119*BB58</f>
        <v>272319.5242053758</v>
      </c>
    </row>
    <row r="120" spans="1:54" ht="12.75">
      <c r="A120" s="143" t="s">
        <v>227</v>
      </c>
      <c r="B120" s="143" t="s">
        <v>238</v>
      </c>
      <c r="C120" s="197">
        <v>623125137</v>
      </c>
      <c r="D120" s="325">
        <v>635.3798</v>
      </c>
      <c r="E120" s="325">
        <v>647.6172</v>
      </c>
      <c r="F120" s="175">
        <v>4800</v>
      </c>
      <c r="G120" s="326">
        <f t="shared" si="5"/>
        <v>12.23739999999998</v>
      </c>
      <c r="H120" s="171"/>
      <c r="I120" s="175">
        <f>G120*F120</f>
        <v>58739.5199999999</v>
      </c>
      <c r="J120" s="160"/>
      <c r="K120" s="160"/>
      <c r="L120" s="160"/>
      <c r="M120" s="160"/>
      <c r="N120" s="160"/>
      <c r="O120" s="160"/>
      <c r="P120" s="160"/>
      <c r="Q120" s="160"/>
      <c r="R120" s="16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273"/>
      <c r="AU120" s="214"/>
      <c r="AV120" s="150"/>
      <c r="AW120" s="150"/>
      <c r="AX120" s="150"/>
      <c r="AY120" s="151"/>
      <c r="AZ120" s="235"/>
      <c r="BA120" s="199"/>
      <c r="BB120" s="299"/>
    </row>
    <row r="121" spans="1:54" ht="12.75">
      <c r="A121" s="144"/>
      <c r="B121" s="144" t="s">
        <v>222</v>
      </c>
      <c r="C121" s="169"/>
      <c r="D121" s="228"/>
      <c r="E121" s="228"/>
      <c r="F121" s="164"/>
      <c r="G121" s="227"/>
      <c r="H121" s="169"/>
      <c r="I121" s="164"/>
      <c r="J121" s="160"/>
      <c r="K121" s="160"/>
      <c r="L121" s="160"/>
      <c r="M121" s="160"/>
      <c r="N121" s="160"/>
      <c r="O121" s="160"/>
      <c r="P121" s="160"/>
      <c r="Q121" s="160"/>
      <c r="R121" s="16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02"/>
      <c r="AU121" s="150"/>
      <c r="AV121" s="150"/>
      <c r="AW121" s="150"/>
      <c r="AX121" s="150"/>
      <c r="AY121" s="151"/>
      <c r="AZ121" s="235"/>
      <c r="BA121" s="199"/>
      <c r="BB121" s="299"/>
    </row>
    <row r="122" spans="1:54" ht="12.75">
      <c r="A122" s="143" t="s">
        <v>228</v>
      </c>
      <c r="B122" s="143" t="s">
        <v>239</v>
      </c>
      <c r="C122" s="197">
        <v>623125142</v>
      </c>
      <c r="D122" s="325">
        <v>2239.3946</v>
      </c>
      <c r="E122" s="325">
        <v>2278.2029</v>
      </c>
      <c r="F122" s="175">
        <v>2400</v>
      </c>
      <c r="G122" s="326">
        <f t="shared" si="5"/>
        <v>38.808300000000145</v>
      </c>
      <c r="H122" s="171"/>
      <c r="I122" s="175">
        <f>G122*F122</f>
        <v>93139.92000000035</v>
      </c>
      <c r="J122" s="160"/>
      <c r="K122" s="160"/>
      <c r="L122" s="160"/>
      <c r="M122" s="160"/>
      <c r="N122" s="160"/>
      <c r="O122" s="160"/>
      <c r="P122" s="160"/>
      <c r="Q122" s="160"/>
      <c r="R122" s="16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02"/>
      <c r="AU122" s="150"/>
      <c r="AV122" s="150"/>
      <c r="AW122" s="150"/>
      <c r="AX122" s="150"/>
      <c r="AY122" s="151"/>
      <c r="AZ122" s="235"/>
      <c r="BA122" s="199"/>
      <c r="BB122" s="299"/>
    </row>
    <row r="123" spans="1:54" ht="12.75">
      <c r="A123" s="144"/>
      <c r="B123" s="144" t="s">
        <v>222</v>
      </c>
      <c r="C123" s="169"/>
      <c r="D123" s="228"/>
      <c r="E123" s="228"/>
      <c r="F123" s="164"/>
      <c r="G123" s="227"/>
      <c r="H123" s="169"/>
      <c r="I123" s="164"/>
      <c r="J123" s="160"/>
      <c r="K123" s="160"/>
      <c r="L123" s="160"/>
      <c r="M123" s="160"/>
      <c r="N123" s="160"/>
      <c r="O123" s="160"/>
      <c r="P123" s="160"/>
      <c r="Q123" s="160"/>
      <c r="R123" s="16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02"/>
      <c r="AU123" s="150"/>
      <c r="AV123" s="150"/>
      <c r="AW123" s="150"/>
      <c r="AX123" s="150"/>
      <c r="AY123" s="151"/>
      <c r="AZ123" s="235"/>
      <c r="BA123" s="199"/>
      <c r="BB123" s="299"/>
    </row>
    <row r="124" spans="1:54" ht="12.75">
      <c r="A124" s="143" t="s">
        <v>229</v>
      </c>
      <c r="B124" s="143" t="s">
        <v>240</v>
      </c>
      <c r="C124" s="197">
        <v>623125205</v>
      </c>
      <c r="D124" s="325">
        <v>1598.6806</v>
      </c>
      <c r="E124" s="325">
        <v>1642.0641</v>
      </c>
      <c r="F124" s="175">
        <v>1800</v>
      </c>
      <c r="G124" s="326">
        <f t="shared" si="5"/>
        <v>43.38350000000014</v>
      </c>
      <c r="H124" s="171"/>
      <c r="I124" s="175">
        <f>G124*F124</f>
        <v>78090.30000000025</v>
      </c>
      <c r="J124" s="160"/>
      <c r="K124" s="160"/>
      <c r="L124" s="160"/>
      <c r="M124" s="160"/>
      <c r="N124" s="160"/>
      <c r="O124" s="160"/>
      <c r="P124" s="160"/>
      <c r="Q124" s="160"/>
      <c r="R124" s="16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02"/>
      <c r="AU124" s="150"/>
      <c r="AV124" s="150"/>
      <c r="AW124" s="150"/>
      <c r="AX124" s="150"/>
      <c r="AY124" s="151"/>
      <c r="AZ124" s="235"/>
      <c r="BA124" s="199"/>
      <c r="BB124" s="299"/>
    </row>
    <row r="125" spans="1:54" ht="12.75">
      <c r="A125" s="144"/>
      <c r="B125" s="144" t="s">
        <v>222</v>
      </c>
      <c r="C125" s="169"/>
      <c r="D125" s="228"/>
      <c r="E125" s="228"/>
      <c r="F125" s="164"/>
      <c r="G125" s="227"/>
      <c r="H125" s="169"/>
      <c r="I125" s="164"/>
      <c r="J125" s="160"/>
      <c r="K125" s="160"/>
      <c r="L125" s="160"/>
      <c r="M125" s="160"/>
      <c r="N125" s="160"/>
      <c r="O125" s="160"/>
      <c r="P125" s="160"/>
      <c r="Q125" s="160"/>
      <c r="R125" s="16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02"/>
      <c r="AU125" s="150"/>
      <c r="AV125" s="150"/>
      <c r="AW125" s="150"/>
      <c r="AX125" s="150"/>
      <c r="AY125" s="151"/>
      <c r="AZ125" s="235"/>
      <c r="BA125" s="199"/>
      <c r="BB125" s="299"/>
    </row>
    <row r="126" spans="1:54" ht="12.75">
      <c r="A126" s="143" t="s">
        <v>230</v>
      </c>
      <c r="B126" s="143" t="s">
        <v>241</v>
      </c>
      <c r="C126" s="197">
        <v>623123704</v>
      </c>
      <c r="D126" s="325">
        <v>2044.0443</v>
      </c>
      <c r="E126" s="325">
        <v>2097.603</v>
      </c>
      <c r="F126" s="175">
        <v>1800</v>
      </c>
      <c r="G126" s="326">
        <f t="shared" si="5"/>
        <v>53.558700000000044</v>
      </c>
      <c r="H126" s="171"/>
      <c r="I126" s="175">
        <f>G126*F126</f>
        <v>96405.66000000008</v>
      </c>
      <c r="J126" s="160"/>
      <c r="K126" s="160"/>
      <c r="L126" s="160"/>
      <c r="M126" s="160"/>
      <c r="N126" s="160"/>
      <c r="O126" s="160"/>
      <c r="P126" s="160"/>
      <c r="Q126" s="160"/>
      <c r="R126" s="16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02"/>
      <c r="AU126" s="150"/>
      <c r="AV126" s="219"/>
      <c r="AW126" s="219"/>
      <c r="AX126" s="150"/>
      <c r="AY126" s="151"/>
      <c r="AZ126" s="235"/>
      <c r="BA126" s="199"/>
      <c r="BB126" s="299"/>
    </row>
    <row r="127" spans="1:54" ht="12.75">
      <c r="A127" s="144"/>
      <c r="B127" s="144" t="s">
        <v>222</v>
      </c>
      <c r="C127" s="169"/>
      <c r="D127" s="228"/>
      <c r="E127" s="228"/>
      <c r="F127" s="164"/>
      <c r="G127" s="227"/>
      <c r="H127" s="169"/>
      <c r="I127" s="164"/>
      <c r="J127" s="160"/>
      <c r="K127" s="160"/>
      <c r="L127" s="160"/>
      <c r="M127" s="160"/>
      <c r="N127" s="160"/>
      <c r="O127" s="160"/>
      <c r="P127" s="160"/>
      <c r="Q127" s="160"/>
      <c r="R127" s="16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60"/>
      <c r="AU127" s="120"/>
      <c r="AV127" s="120"/>
      <c r="AW127" s="120"/>
      <c r="AX127" s="120"/>
      <c r="AY127" s="120"/>
      <c r="AZ127" s="274"/>
      <c r="BA127" s="120"/>
      <c r="BB127" s="120"/>
    </row>
    <row r="128" spans="1:54" ht="12.75">
      <c r="A128" s="143" t="s">
        <v>231</v>
      </c>
      <c r="B128" s="143" t="s">
        <v>242</v>
      </c>
      <c r="C128" s="197">
        <v>623125794</v>
      </c>
      <c r="D128" s="325">
        <v>57.9402</v>
      </c>
      <c r="E128" s="325">
        <v>60.0814</v>
      </c>
      <c r="F128" s="175">
        <v>1800</v>
      </c>
      <c r="G128" s="326">
        <f>E128-D128</f>
        <v>2.141200000000005</v>
      </c>
      <c r="H128" s="171"/>
      <c r="I128" s="175">
        <f>G128*F128</f>
        <v>3854.160000000009</v>
      </c>
      <c r="J128" s="160"/>
      <c r="K128" s="160"/>
      <c r="L128" s="160"/>
      <c r="M128" s="160"/>
      <c r="N128" s="160"/>
      <c r="O128" s="160"/>
      <c r="P128" s="160"/>
      <c r="Q128" s="160"/>
      <c r="R128" s="16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60"/>
      <c r="AU128" s="120"/>
      <c r="AV128" s="120"/>
      <c r="AW128" s="120"/>
      <c r="AX128" s="120"/>
      <c r="AY128" s="120"/>
      <c r="AZ128" s="274"/>
      <c r="BA128" s="120"/>
      <c r="BB128" s="120"/>
    </row>
    <row r="129" spans="1:54" ht="12.75">
      <c r="A129" s="144"/>
      <c r="B129" s="144" t="s">
        <v>222</v>
      </c>
      <c r="C129" s="169"/>
      <c r="D129" s="228"/>
      <c r="E129" s="228"/>
      <c r="F129" s="164"/>
      <c r="G129" s="227"/>
      <c r="H129" s="169"/>
      <c r="I129" s="164"/>
      <c r="J129" s="160"/>
      <c r="K129" s="160"/>
      <c r="L129" s="160"/>
      <c r="M129" s="160"/>
      <c r="N129" s="160"/>
      <c r="O129" s="160"/>
      <c r="P129" s="160"/>
      <c r="Q129" s="160"/>
      <c r="R129" s="16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60"/>
      <c r="AU129" s="120"/>
      <c r="AV129" s="120"/>
      <c r="AW129" s="120"/>
      <c r="AX129" s="120"/>
      <c r="AY129" s="120"/>
      <c r="AZ129" s="274"/>
      <c r="BA129" s="120"/>
      <c r="BB129" s="120"/>
    </row>
    <row r="130" spans="1:54" ht="12.75">
      <c r="A130" s="143" t="s">
        <v>232</v>
      </c>
      <c r="B130" s="143" t="s">
        <v>243</v>
      </c>
      <c r="C130" s="197">
        <v>623125736</v>
      </c>
      <c r="D130" s="325">
        <v>2666.538</v>
      </c>
      <c r="E130" s="325">
        <v>2712.9174</v>
      </c>
      <c r="F130" s="175">
        <v>1200</v>
      </c>
      <c r="G130" s="326">
        <f t="shared" si="5"/>
        <v>46.379399999999805</v>
      </c>
      <c r="H130" s="171"/>
      <c r="I130" s="175">
        <f>G130*F130</f>
        <v>55655.279999999766</v>
      </c>
      <c r="J130" s="160"/>
      <c r="K130" s="160"/>
      <c r="L130" s="160"/>
      <c r="M130" s="160"/>
      <c r="N130" s="160"/>
      <c r="O130" s="160"/>
      <c r="P130" s="160"/>
      <c r="Q130" s="160"/>
      <c r="R130" s="16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60"/>
      <c r="AU130" s="120"/>
      <c r="AV130" s="120"/>
      <c r="AW130" s="120"/>
      <c r="AX130" s="120"/>
      <c r="AY130" s="120"/>
      <c r="AZ130" s="274"/>
      <c r="BA130" s="120"/>
      <c r="BB130" s="120"/>
    </row>
    <row r="131" spans="1:54" ht="12.75">
      <c r="A131" s="144"/>
      <c r="B131" s="144" t="s">
        <v>222</v>
      </c>
      <c r="C131" s="168"/>
      <c r="D131" s="228"/>
      <c r="E131" s="228"/>
      <c r="F131" s="164"/>
      <c r="G131" s="227"/>
      <c r="H131" s="169"/>
      <c r="I131" s="164"/>
      <c r="J131" s="160"/>
      <c r="K131" s="160"/>
      <c r="L131" s="160"/>
      <c r="M131" s="160"/>
      <c r="N131" s="160"/>
      <c r="O131" s="160"/>
      <c r="P131" s="160"/>
      <c r="Q131" s="160"/>
      <c r="R131" s="16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60"/>
      <c r="AU131" s="120" t="s">
        <v>9</v>
      </c>
      <c r="AV131" s="120"/>
      <c r="AW131" s="120"/>
      <c r="AX131" s="120"/>
      <c r="AY131" s="120"/>
      <c r="AZ131" s="301">
        <f>AZ9</f>
        <v>5659139</v>
      </c>
      <c r="BA131" s="120"/>
      <c r="BB131" s="275">
        <f>SUM(BB93:BB96)+BB103+BB109+SUM(BB112:BB126)</f>
        <v>19983065.869969998</v>
      </c>
    </row>
    <row r="132" spans="1:54" ht="12.75">
      <c r="A132" s="143" t="s">
        <v>233</v>
      </c>
      <c r="B132" s="145" t="s">
        <v>234</v>
      </c>
      <c r="C132" s="197">
        <v>1110171156</v>
      </c>
      <c r="D132" s="325">
        <v>872.3736</v>
      </c>
      <c r="E132" s="325">
        <v>918.3632</v>
      </c>
      <c r="F132" s="175">
        <v>40</v>
      </c>
      <c r="G132" s="326">
        <f t="shared" si="5"/>
        <v>45.989599999999996</v>
      </c>
      <c r="H132" s="171"/>
      <c r="I132" s="175">
        <f>G132*F132</f>
        <v>1839.5839999999998</v>
      </c>
      <c r="J132" s="160"/>
      <c r="K132" s="160"/>
      <c r="L132" s="160"/>
      <c r="M132" s="160"/>
      <c r="N132" s="160"/>
      <c r="O132" s="160"/>
      <c r="P132" s="160"/>
      <c r="Q132" s="160"/>
      <c r="R132" s="16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60"/>
      <c r="AU132" s="120"/>
      <c r="AV132" s="120"/>
      <c r="AW132" s="120"/>
      <c r="AX132" s="120"/>
      <c r="AY132" s="120"/>
      <c r="AZ132" s="274"/>
      <c r="BA132" s="120"/>
      <c r="BB132" s="120"/>
    </row>
    <row r="133" spans="1:54" ht="12.75">
      <c r="A133" s="144"/>
      <c r="B133" s="103" t="s">
        <v>222</v>
      </c>
      <c r="C133" s="169"/>
      <c r="D133" s="379"/>
      <c r="E133" s="228"/>
      <c r="F133" s="164"/>
      <c r="G133" s="229"/>
      <c r="H133" s="169"/>
      <c r="I133" s="164"/>
      <c r="J133" s="160"/>
      <c r="K133" s="160"/>
      <c r="L133" s="160"/>
      <c r="M133" s="160"/>
      <c r="N133" s="160"/>
      <c r="O133" s="160"/>
      <c r="P133" s="160"/>
      <c r="Q133" s="160"/>
      <c r="R133" s="16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60"/>
      <c r="AU133" s="120"/>
      <c r="AV133" s="120"/>
      <c r="AW133" s="120"/>
      <c r="AX133" s="120"/>
      <c r="AY133" s="120"/>
      <c r="AZ133" s="120"/>
      <c r="BA133" s="120"/>
      <c r="BB133" s="120"/>
    </row>
    <row r="134" spans="1:54" ht="12.75">
      <c r="A134" s="201"/>
      <c r="B134" s="150"/>
      <c r="C134" s="191"/>
      <c r="D134" s="199"/>
      <c r="E134" s="200"/>
      <c r="F134" s="200"/>
      <c r="G134" s="215" t="s">
        <v>244</v>
      </c>
      <c r="H134" s="151"/>
      <c r="I134" s="235">
        <f>SUM(I112:I133)+I107</f>
        <v>1737969.3439999898</v>
      </c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60" t="s">
        <v>558</v>
      </c>
      <c r="AU134" s="120"/>
      <c r="AV134" s="120"/>
      <c r="AW134" s="120"/>
      <c r="AX134" s="120"/>
      <c r="AY134" s="120"/>
      <c r="AZ134" s="120"/>
      <c r="BA134" s="120"/>
      <c r="BB134" s="120"/>
    </row>
    <row r="135" spans="1:54" ht="12.75">
      <c r="A135" s="143" t="s">
        <v>247</v>
      </c>
      <c r="B135" s="145" t="s">
        <v>245</v>
      </c>
      <c r="C135" s="202"/>
      <c r="D135" s="202"/>
      <c r="E135" s="203"/>
      <c r="F135" s="203"/>
      <c r="G135" s="204"/>
      <c r="H135" s="146"/>
      <c r="I135" s="205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60"/>
      <c r="AU135" s="120"/>
      <c r="AV135" s="120"/>
      <c r="AW135" s="120"/>
      <c r="AX135" s="120"/>
      <c r="AY135" s="120"/>
      <c r="AZ135" s="120"/>
      <c r="BA135" s="120"/>
      <c r="BB135" s="120"/>
    </row>
    <row r="136" spans="1:54" ht="12.75">
      <c r="A136" s="173"/>
      <c r="B136" s="159" t="s">
        <v>246</v>
      </c>
      <c r="C136" s="206"/>
      <c r="D136" s="191"/>
      <c r="E136" s="207"/>
      <c r="F136" s="207"/>
      <c r="G136" s="208"/>
      <c r="H136" s="148"/>
      <c r="I136" s="209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60" t="s">
        <v>143</v>
      </c>
      <c r="AU136" s="120"/>
      <c r="AV136" s="120"/>
      <c r="AW136" s="120"/>
      <c r="AX136" s="120"/>
      <c r="AY136" s="120"/>
      <c r="AZ136" s="120"/>
      <c r="BA136" s="120"/>
      <c r="BB136" s="120"/>
    </row>
    <row r="137" spans="1:54" ht="12.75">
      <c r="A137" s="145" t="s">
        <v>248</v>
      </c>
      <c r="B137" s="143" t="s">
        <v>489</v>
      </c>
      <c r="C137" s="304"/>
      <c r="D137" s="211"/>
      <c r="E137" s="211"/>
      <c r="F137" s="155"/>
      <c r="G137" s="212"/>
      <c r="H137" s="152"/>
      <c r="I137" s="155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60"/>
      <c r="AU137" s="120"/>
      <c r="AV137" s="120"/>
      <c r="AW137" s="120"/>
      <c r="AX137" s="120"/>
      <c r="AY137" s="120"/>
      <c r="AZ137" s="120"/>
      <c r="BA137" s="120"/>
      <c r="BB137" s="120"/>
    </row>
    <row r="138" spans="1:54" ht="12.75">
      <c r="A138" s="159"/>
      <c r="B138" s="173"/>
      <c r="C138" s="305">
        <v>611127627</v>
      </c>
      <c r="D138" s="302">
        <v>2279.362</v>
      </c>
      <c r="E138" s="302">
        <v>2280.3388</v>
      </c>
      <c r="F138" s="155">
        <v>40</v>
      </c>
      <c r="G138" s="252">
        <f>E138-D138</f>
        <v>0.976799999999912</v>
      </c>
      <c r="H138" s="155"/>
      <c r="I138" s="155">
        <f>ROUND(F138*G138+H138,0)</f>
        <v>39</v>
      </c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60"/>
      <c r="AU138" s="120"/>
      <c r="AV138" s="120"/>
      <c r="AW138" s="120"/>
      <c r="AX138" s="120"/>
      <c r="AY138" s="120"/>
      <c r="AZ138" s="120"/>
      <c r="BA138" s="120"/>
      <c r="BB138" s="120"/>
    </row>
    <row r="139" spans="1:54" ht="12.75">
      <c r="A139" s="159"/>
      <c r="B139" s="144" t="s">
        <v>467</v>
      </c>
      <c r="C139" s="305"/>
      <c r="D139" s="306"/>
      <c r="E139" s="306"/>
      <c r="F139" s="155"/>
      <c r="G139" s="212"/>
      <c r="H139" s="155"/>
      <c r="I139" s="155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</row>
    <row r="140" spans="1:54" ht="12.75">
      <c r="A140" s="143" t="s">
        <v>251</v>
      </c>
      <c r="B140" s="161"/>
      <c r="C140" s="213">
        <v>810120245</v>
      </c>
      <c r="D140" s="302">
        <v>1279.5642</v>
      </c>
      <c r="E140" s="302">
        <v>1280.0266</v>
      </c>
      <c r="F140" s="155">
        <v>3600</v>
      </c>
      <c r="G140" s="252">
        <f aca="true" t="shared" si="6" ref="G140:G145">E140-D140</f>
        <v>0.4623999999998887</v>
      </c>
      <c r="H140" s="155"/>
      <c r="I140" s="155">
        <f aca="true" t="shared" si="7" ref="I140:I145">ROUND(F140*G140+H140,0)</f>
        <v>1665</v>
      </c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</row>
    <row r="141" spans="1:54" ht="12.75">
      <c r="A141" s="173"/>
      <c r="B141" s="161" t="s">
        <v>495</v>
      </c>
      <c r="C141" s="213"/>
      <c r="D141" s="302"/>
      <c r="E141" s="302"/>
      <c r="F141" s="155"/>
      <c r="G141" s="252"/>
      <c r="H141" s="96"/>
      <c r="I141" s="155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</row>
    <row r="142" spans="1:54" ht="12.75">
      <c r="A142" s="173"/>
      <c r="B142" s="161"/>
      <c r="C142" s="210">
        <v>4050284</v>
      </c>
      <c r="D142" s="230">
        <v>4086.9258</v>
      </c>
      <c r="E142" s="230">
        <v>4110.54</v>
      </c>
      <c r="F142" s="155">
        <v>3600</v>
      </c>
      <c r="G142" s="253">
        <f t="shared" si="6"/>
        <v>23.614199999999983</v>
      </c>
      <c r="H142" s="96"/>
      <c r="I142" s="155">
        <f t="shared" si="7"/>
        <v>85011</v>
      </c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</row>
    <row r="143" spans="1:54" ht="12.75">
      <c r="A143" s="144"/>
      <c r="B143" s="149"/>
      <c r="C143" s="210"/>
      <c r="D143" s="230"/>
      <c r="E143" s="230"/>
      <c r="F143" s="155"/>
      <c r="G143" s="253"/>
      <c r="H143" s="96"/>
      <c r="I143" s="155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</row>
    <row r="144" spans="1:54" ht="12.75">
      <c r="A144" s="173" t="s">
        <v>252</v>
      </c>
      <c r="B144" s="143" t="s">
        <v>218</v>
      </c>
      <c r="C144" s="152"/>
      <c r="D144" s="211"/>
      <c r="E144" s="211"/>
      <c r="F144" s="155"/>
      <c r="G144" s="212"/>
      <c r="H144" s="96"/>
      <c r="I144" s="155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</row>
    <row r="145" spans="1:54" ht="12.75">
      <c r="A145" s="307"/>
      <c r="B145" s="173" t="s">
        <v>217</v>
      </c>
      <c r="C145" s="305">
        <v>611127492</v>
      </c>
      <c r="D145" s="302">
        <v>5422.6204</v>
      </c>
      <c r="E145" s="302">
        <v>5501.2228</v>
      </c>
      <c r="F145" s="155">
        <v>20</v>
      </c>
      <c r="G145" s="252">
        <f t="shared" si="6"/>
        <v>78.60239999999976</v>
      </c>
      <c r="H145" s="155"/>
      <c r="I145" s="155">
        <f t="shared" si="7"/>
        <v>1572</v>
      </c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</row>
    <row r="146" spans="1:54" ht="12.75">
      <c r="A146" s="145" t="s">
        <v>253</v>
      </c>
      <c r="B146" s="143" t="s">
        <v>490</v>
      </c>
      <c r="C146" s="309"/>
      <c r="D146" s="211"/>
      <c r="E146" s="211"/>
      <c r="F146" s="155"/>
      <c r="G146" s="212"/>
      <c r="H146" s="96"/>
      <c r="I146" s="155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</row>
    <row r="147" spans="1:54" ht="12.75">
      <c r="A147" s="308"/>
      <c r="B147" s="168" t="s">
        <v>546</v>
      </c>
      <c r="C147" s="305">
        <v>611127702</v>
      </c>
      <c r="D147" s="302">
        <v>6741.04</v>
      </c>
      <c r="E147" s="302">
        <v>6775.4164</v>
      </c>
      <c r="F147" s="155">
        <v>60</v>
      </c>
      <c r="G147" s="252">
        <f>E147-D147</f>
        <v>34.3764000000001</v>
      </c>
      <c r="H147" s="96"/>
      <c r="I147" s="155">
        <f>ROUND(F147*G147+H147,0)</f>
        <v>2063</v>
      </c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</row>
    <row r="148" spans="1:54" ht="12.75">
      <c r="A148" s="159"/>
      <c r="B148" s="168" t="s">
        <v>547</v>
      </c>
      <c r="C148" s="305">
        <v>611127555</v>
      </c>
      <c r="D148" s="302">
        <v>844.6456</v>
      </c>
      <c r="E148" s="302">
        <v>931.3424</v>
      </c>
      <c r="F148" s="155">
        <v>60</v>
      </c>
      <c r="G148" s="252">
        <f>E148-D148</f>
        <v>86.69680000000005</v>
      </c>
      <c r="H148" s="96"/>
      <c r="I148" s="155">
        <f>ROUND(F148*G148+H148,0)</f>
        <v>5202</v>
      </c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</row>
    <row r="149" spans="1:54" ht="12.75">
      <c r="A149" s="145" t="s">
        <v>258</v>
      </c>
      <c r="B149" s="143" t="s">
        <v>491</v>
      </c>
      <c r="C149" s="310"/>
      <c r="D149" s="232"/>
      <c r="E149" s="232"/>
      <c r="F149" s="155"/>
      <c r="G149" s="212"/>
      <c r="H149" s="96"/>
      <c r="I149" s="155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</row>
    <row r="150" spans="1:54" ht="12.75">
      <c r="A150" s="308"/>
      <c r="B150" s="173"/>
      <c r="C150" s="305">
        <v>1110171163</v>
      </c>
      <c r="D150" s="230">
        <v>176.2432</v>
      </c>
      <c r="E150" s="230">
        <v>182.6368</v>
      </c>
      <c r="F150" s="155">
        <v>60</v>
      </c>
      <c r="G150" s="252">
        <f>E150-D150</f>
        <v>6.393599999999992</v>
      </c>
      <c r="H150" s="96"/>
      <c r="I150" s="155">
        <f>ROUND(F150*G150+H150,0)</f>
        <v>384</v>
      </c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</row>
    <row r="151" spans="1:54" ht="12.75">
      <c r="A151" s="159"/>
      <c r="B151" s="173"/>
      <c r="C151" s="305"/>
      <c r="D151" s="211"/>
      <c r="E151" s="211"/>
      <c r="F151" s="155"/>
      <c r="G151" s="212"/>
      <c r="H151" s="96"/>
      <c r="I151" s="155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</row>
    <row r="152" spans="1:54" ht="12.75">
      <c r="A152" s="145" t="s">
        <v>260</v>
      </c>
      <c r="B152" s="143" t="s">
        <v>492</v>
      </c>
      <c r="C152" s="311"/>
      <c r="D152" s="232"/>
      <c r="E152" s="232"/>
      <c r="F152" s="155"/>
      <c r="G152" s="212"/>
      <c r="H152" s="96"/>
      <c r="I152" s="155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</row>
    <row r="153" spans="1:54" ht="12.75">
      <c r="A153" s="159"/>
      <c r="B153" s="173"/>
      <c r="C153" s="305">
        <v>1110171170</v>
      </c>
      <c r="D153" s="302">
        <v>137.6192</v>
      </c>
      <c r="E153" s="302">
        <v>145.8364</v>
      </c>
      <c r="F153" s="155">
        <v>40</v>
      </c>
      <c r="G153" s="252">
        <f>E153-D153</f>
        <v>8.217199999999991</v>
      </c>
      <c r="H153" s="155"/>
      <c r="I153" s="155">
        <f>ROUND(F153*G153+H153,0)</f>
        <v>329</v>
      </c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</row>
    <row r="154" spans="1:54" ht="12.75">
      <c r="A154" s="159"/>
      <c r="B154" s="173"/>
      <c r="C154" s="305"/>
      <c r="D154" s="306"/>
      <c r="E154" s="306"/>
      <c r="F154" s="155"/>
      <c r="G154" s="212"/>
      <c r="H154" s="155"/>
      <c r="I154" s="155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</row>
    <row r="155" spans="1:54" ht="12.75">
      <c r="A155" s="143" t="s">
        <v>261</v>
      </c>
      <c r="B155" s="147" t="s">
        <v>541</v>
      </c>
      <c r="C155" s="305">
        <v>611126342</v>
      </c>
      <c r="D155" s="302">
        <v>6059.7548</v>
      </c>
      <c r="E155" s="302">
        <v>6059.7548</v>
      </c>
      <c r="F155" s="155">
        <v>1800</v>
      </c>
      <c r="G155" s="252">
        <f>E155-D155</f>
        <v>0</v>
      </c>
      <c r="H155" s="155"/>
      <c r="I155" s="155">
        <f>ROUND(F155*G155+H155,0)</f>
        <v>0</v>
      </c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</row>
    <row r="156" spans="1:54" ht="12.75">
      <c r="A156" s="173"/>
      <c r="B156" s="161" t="s">
        <v>469</v>
      </c>
      <c r="C156" s="305">
        <v>611126404</v>
      </c>
      <c r="D156" s="302">
        <v>775.857</v>
      </c>
      <c r="E156" s="302">
        <v>786.1682</v>
      </c>
      <c r="F156" s="155">
        <v>1800</v>
      </c>
      <c r="G156" s="252">
        <f>E156-D156</f>
        <v>10.311199999999985</v>
      </c>
      <c r="H156" s="155"/>
      <c r="I156" s="155">
        <f>ROUND(F156*G156+H156,0)</f>
        <v>18560</v>
      </c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</row>
    <row r="157" spans="1:54" ht="12.75">
      <c r="A157" s="144"/>
      <c r="B157" s="149" t="s">
        <v>509</v>
      </c>
      <c r="C157" s="305">
        <v>611126334</v>
      </c>
      <c r="D157" s="302">
        <v>0.1356</v>
      </c>
      <c r="E157" s="302">
        <v>0.1356</v>
      </c>
      <c r="F157" s="155">
        <v>1800</v>
      </c>
      <c r="G157" s="252">
        <f>E157-D157</f>
        <v>0</v>
      </c>
      <c r="H157" s="96"/>
      <c r="I157" s="155">
        <f>ROUND(F157*G157+H157,0)</f>
        <v>0</v>
      </c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</row>
    <row r="158" spans="1:54" ht="12.75">
      <c r="A158" s="159" t="s">
        <v>477</v>
      </c>
      <c r="B158" s="143" t="s">
        <v>493</v>
      </c>
      <c r="C158" s="305">
        <v>611127724</v>
      </c>
      <c r="D158" s="302">
        <v>569.9408</v>
      </c>
      <c r="E158" s="302">
        <v>586.2312</v>
      </c>
      <c r="F158" s="155">
        <v>30</v>
      </c>
      <c r="G158" s="252">
        <f>E158-D158</f>
        <v>16.290399999999977</v>
      </c>
      <c r="H158" s="155"/>
      <c r="I158" s="155">
        <f>ROUND(F158*G158+H158,0)</f>
        <v>489</v>
      </c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</row>
    <row r="159" spans="1:54" ht="12.75">
      <c r="A159" s="103"/>
      <c r="B159" s="173" t="s">
        <v>540</v>
      </c>
      <c r="C159" s="305"/>
      <c r="D159" s="306"/>
      <c r="E159" s="306"/>
      <c r="F159" s="155"/>
      <c r="G159" s="212"/>
      <c r="H159" s="155"/>
      <c r="I159" s="155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</row>
    <row r="160" spans="1:54" ht="12.75">
      <c r="A160" s="96"/>
      <c r="B160" s="312"/>
      <c r="C160" s="171"/>
      <c r="D160" s="306"/>
      <c r="E160" s="306"/>
      <c r="F160" s="155"/>
      <c r="G160" s="212"/>
      <c r="H160" s="155"/>
      <c r="I160" s="155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</row>
    <row r="161" spans="1:54" ht="12.75">
      <c r="A161" s="103"/>
      <c r="B161" s="148"/>
      <c r="C161" s="150"/>
      <c r="D161" s="150"/>
      <c r="E161" s="150"/>
      <c r="F161" s="150" t="s">
        <v>264</v>
      </c>
      <c r="G161" s="150"/>
      <c r="H161" s="151"/>
      <c r="I161" s="235">
        <f>SUM(I137:I159)-I160</f>
        <v>115314</v>
      </c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</row>
    <row r="162" spans="1:54" ht="12.75">
      <c r="A162" s="102"/>
      <c r="B162" s="150"/>
      <c r="C162" s="150"/>
      <c r="D162" s="150"/>
      <c r="E162" s="150"/>
      <c r="F162" s="150"/>
      <c r="G162" s="150" t="s">
        <v>265</v>
      </c>
      <c r="H162" s="151"/>
      <c r="I162" s="235">
        <f>I103+I104+I107+I108+I109+I110-I134-I161</f>
        <v>2874302.6560000074</v>
      </c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</row>
    <row r="163" spans="1:54" ht="12.75">
      <c r="A163" s="96" t="s">
        <v>272</v>
      </c>
      <c r="B163" s="102" t="s">
        <v>266</v>
      </c>
      <c r="C163" s="150"/>
      <c r="D163" s="150"/>
      <c r="E163" s="150"/>
      <c r="F163" s="150"/>
      <c r="G163" s="150"/>
      <c r="H163" s="150"/>
      <c r="I163" s="151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</row>
    <row r="164" spans="1:54" ht="12.75">
      <c r="A164" s="143" t="s">
        <v>270</v>
      </c>
      <c r="B164" s="143" t="s">
        <v>267</v>
      </c>
      <c r="C164" s="171">
        <v>18705639</v>
      </c>
      <c r="D164" s="321">
        <v>38</v>
      </c>
      <c r="E164" s="321">
        <v>38</v>
      </c>
      <c r="F164" s="175">
        <v>30</v>
      </c>
      <c r="G164" s="322">
        <f>E164-D164</f>
        <v>0</v>
      </c>
      <c r="H164" s="143"/>
      <c r="I164" s="175">
        <f>F164*G164+H164</f>
        <v>0</v>
      </c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</row>
    <row r="165" spans="1:54" ht="12.75">
      <c r="A165" s="144"/>
      <c r="B165" s="144" t="s">
        <v>268</v>
      </c>
      <c r="C165" s="169"/>
      <c r="D165" s="144"/>
      <c r="E165" s="144"/>
      <c r="F165" s="164"/>
      <c r="G165" s="144"/>
      <c r="H165" s="144"/>
      <c r="I165" s="144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</row>
    <row r="166" spans="1:54" ht="12.75">
      <c r="A166" s="143" t="s">
        <v>271</v>
      </c>
      <c r="B166" s="143" t="s">
        <v>269</v>
      </c>
      <c r="C166" s="171">
        <v>18705843</v>
      </c>
      <c r="D166" s="321">
        <v>204.4</v>
      </c>
      <c r="E166" s="321">
        <v>204.4</v>
      </c>
      <c r="F166" s="175">
        <v>30</v>
      </c>
      <c r="G166" s="233">
        <f>E166-D166</f>
        <v>0</v>
      </c>
      <c r="H166" s="143"/>
      <c r="I166" s="175">
        <f>F166*G166+H166</f>
        <v>0</v>
      </c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</row>
    <row r="167" spans="1:54" ht="12.75">
      <c r="A167" s="144"/>
      <c r="B167" s="144" t="s">
        <v>268</v>
      </c>
      <c r="C167" s="169"/>
      <c r="D167" s="144"/>
      <c r="E167" s="144"/>
      <c r="F167" s="164"/>
      <c r="G167" s="144"/>
      <c r="H167" s="144"/>
      <c r="I167" s="144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</row>
    <row r="168" spans="1:54" ht="12.75">
      <c r="A168" s="102"/>
      <c r="B168" s="150"/>
      <c r="C168" s="217"/>
      <c r="D168" s="199"/>
      <c r="E168" s="218"/>
      <c r="F168" s="218" t="s">
        <v>273</v>
      </c>
      <c r="G168" s="219"/>
      <c r="H168" s="151"/>
      <c r="I168" s="155">
        <f>I164+I166</f>
        <v>0</v>
      </c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</row>
    <row r="169" spans="1:54" ht="12.75">
      <c r="A169" s="102"/>
      <c r="B169" s="150"/>
      <c r="C169" s="217"/>
      <c r="D169" s="199"/>
      <c r="E169" s="218"/>
      <c r="F169" s="218"/>
      <c r="G169" s="219" t="s">
        <v>274</v>
      </c>
      <c r="H169" s="151"/>
      <c r="I169" s="235">
        <f>I162+I168</f>
        <v>2874302.6560000074</v>
      </c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</row>
    <row r="170" spans="1:54" ht="12.75">
      <c r="A170" s="145" t="s">
        <v>275</v>
      </c>
      <c r="B170" s="146"/>
      <c r="C170" s="220"/>
      <c r="D170" s="202"/>
      <c r="E170" s="221"/>
      <c r="F170" s="221"/>
      <c r="G170" s="204"/>
      <c r="H170" s="146"/>
      <c r="I170" s="205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</row>
    <row r="171" spans="1:54" ht="12.75">
      <c r="A171" s="222" t="s">
        <v>538</v>
      </c>
      <c r="B171" s="223"/>
      <c r="C171" s="223"/>
      <c r="D171" s="191"/>
      <c r="E171" s="148"/>
      <c r="F171" s="148"/>
      <c r="G171" s="148"/>
      <c r="H171" s="148"/>
      <c r="I171" s="209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</row>
    <row r="172" spans="1:54" ht="12.75">
      <c r="A172" s="160" t="s">
        <v>279</v>
      </c>
      <c r="B172" s="160"/>
      <c r="C172" s="264"/>
      <c r="D172" s="181"/>
      <c r="E172" s="265"/>
      <c r="F172" s="265"/>
      <c r="G172" s="188"/>
      <c r="H172" s="160"/>
      <c r="I172" s="19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</row>
    <row r="173" spans="1:54" ht="12.75">
      <c r="A173" s="160"/>
      <c r="B173" s="160"/>
      <c r="C173" s="181"/>
      <c r="D173" s="313" t="s">
        <v>280</v>
      </c>
      <c r="E173" s="313"/>
      <c r="F173" s="314"/>
      <c r="G173" s="243"/>
      <c r="H173" s="243"/>
      <c r="I173" s="189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</row>
    <row r="174" spans="1:54" ht="12.75">
      <c r="A174" s="160"/>
      <c r="B174" s="160"/>
      <c r="C174" s="181"/>
      <c r="D174" s="313" t="s">
        <v>531</v>
      </c>
      <c r="E174" s="313"/>
      <c r="F174" s="314"/>
      <c r="G174" s="243"/>
      <c r="H174" s="243"/>
      <c r="I174" s="189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</row>
    <row r="175" spans="1:54" ht="12.75">
      <c r="A175" s="160"/>
      <c r="B175" s="160"/>
      <c r="C175" s="264"/>
      <c r="D175" s="313" t="s">
        <v>539</v>
      </c>
      <c r="E175" s="313"/>
      <c r="F175" s="314"/>
      <c r="G175" s="243"/>
      <c r="H175" s="243"/>
      <c r="I175" s="189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</row>
    <row r="176" spans="1:54" ht="12.75">
      <c r="A176" s="160"/>
      <c r="B176" s="160"/>
      <c r="C176" s="160"/>
      <c r="D176" s="160"/>
      <c r="E176" s="160"/>
      <c r="F176" s="160"/>
      <c r="G176" s="160"/>
      <c r="H176" s="160"/>
      <c r="I176" s="16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</row>
    <row r="177" spans="1:54" ht="12.75">
      <c r="A177" s="160"/>
      <c r="B177" s="160"/>
      <c r="C177" s="160"/>
      <c r="D177" s="160"/>
      <c r="E177" s="160"/>
      <c r="F177" s="160"/>
      <c r="G177" s="160"/>
      <c r="H177" s="160"/>
      <c r="I177" s="16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 t="s">
        <v>519</v>
      </c>
      <c r="BA177" s="120"/>
      <c r="BB177" s="120"/>
    </row>
    <row r="178" spans="1:54" ht="12.75">
      <c r="A178" s="160"/>
      <c r="B178" s="160"/>
      <c r="C178" s="315"/>
      <c r="D178" s="316"/>
      <c r="E178" s="316"/>
      <c r="F178" s="180"/>
      <c r="G178" s="317"/>
      <c r="H178" s="160"/>
      <c r="I178" s="18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 t="s">
        <v>513</v>
      </c>
      <c r="BA178" s="120" t="s">
        <v>109</v>
      </c>
      <c r="BB178" s="120"/>
    </row>
    <row r="179" spans="1:54" ht="12.75">
      <c r="A179" s="243"/>
      <c r="B179" s="160"/>
      <c r="C179" s="315"/>
      <c r="D179" s="316"/>
      <c r="E179" s="316"/>
      <c r="F179" s="180"/>
      <c r="G179" s="317"/>
      <c r="H179" s="160"/>
      <c r="I179" s="18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 t="s">
        <v>510</v>
      </c>
      <c r="AZ179" s="301">
        <f>AZ183+AZ184+AZ185</f>
        <v>3045245</v>
      </c>
      <c r="BA179" s="370">
        <f>AZ179*2.9</f>
        <v>8831210.5</v>
      </c>
      <c r="BB179" s="120"/>
    </row>
    <row r="180" spans="1:54" ht="12.75">
      <c r="A180" s="160"/>
      <c r="B180" s="160"/>
      <c r="C180" s="160"/>
      <c r="D180" s="160"/>
      <c r="E180" s="160"/>
      <c r="F180" s="160"/>
      <c r="G180" s="160"/>
      <c r="H180" s="160"/>
      <c r="I180" s="16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 t="s">
        <v>511</v>
      </c>
      <c r="AZ180" s="301">
        <f>AZ187-AZ179-AZ181</f>
        <v>2450114</v>
      </c>
      <c r="BA180" s="370">
        <f>AZ180*2.9</f>
        <v>7105330.6</v>
      </c>
      <c r="BB180" s="120"/>
    </row>
    <row r="181" spans="1:54" ht="12.75">
      <c r="A181" s="160"/>
      <c r="B181" s="160"/>
      <c r="C181" s="160"/>
      <c r="D181" s="160"/>
      <c r="E181" s="160"/>
      <c r="F181" s="160"/>
      <c r="G181" s="160"/>
      <c r="H181" s="160"/>
      <c r="I181" s="16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 t="s">
        <v>512</v>
      </c>
      <c r="AZ181" s="301">
        <f>AZ186</f>
        <v>163780</v>
      </c>
      <c r="BA181" s="370">
        <f>AZ181*2.9</f>
        <v>474962</v>
      </c>
      <c r="BB181" s="120"/>
    </row>
    <row r="182" spans="52:53" ht="12.75">
      <c r="AZ182" s="368"/>
      <c r="BA182" s="368"/>
    </row>
    <row r="183" spans="51:53" ht="12.75">
      <c r="AY183" s="120" t="s">
        <v>514</v>
      </c>
      <c r="AZ183" s="369">
        <v>2742934</v>
      </c>
      <c r="BA183" s="368"/>
    </row>
    <row r="184" spans="51:53" ht="12.75">
      <c r="AY184" s="120" t="s">
        <v>515</v>
      </c>
      <c r="AZ184" s="369">
        <f>AZ95</f>
        <v>120458</v>
      </c>
      <c r="BA184" s="368"/>
    </row>
    <row r="185" spans="51:53" ht="12.75">
      <c r="AY185" s="120" t="s">
        <v>517</v>
      </c>
      <c r="AZ185" s="369">
        <v>181853</v>
      </c>
      <c r="BA185" s="368"/>
    </row>
    <row r="186" spans="51:53" ht="12.75">
      <c r="AY186" s="120" t="s">
        <v>518</v>
      </c>
      <c r="AZ186" s="369">
        <v>163780</v>
      </c>
      <c r="BA186" s="368"/>
    </row>
    <row r="187" spans="51:52" ht="12.75">
      <c r="AY187" s="120" t="s">
        <v>516</v>
      </c>
      <c r="AZ187" s="369">
        <f>AZ131</f>
        <v>5659139</v>
      </c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 t="s">
        <v>552</v>
      </c>
      <c r="C196" s="4"/>
      <c r="D196" s="380">
        <v>42161.26</v>
      </c>
      <c r="E196" s="380">
        <v>42208.79</v>
      </c>
      <c r="F196" s="380">
        <v>1800</v>
      </c>
      <c r="G196" s="380">
        <f>E196-D196</f>
        <v>47.529999999998836</v>
      </c>
      <c r="H196" s="380"/>
      <c r="I196" s="155">
        <f>ROUND(F196*G196+H196,0)</f>
        <v>85554</v>
      </c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2.75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2.75">
      <c r="A200" s="11"/>
      <c r="B200" s="11"/>
      <c r="C200" s="11"/>
      <c r="D200" s="11"/>
      <c r="E200" s="11"/>
      <c r="F200" s="11"/>
      <c r="G200" s="11"/>
      <c r="H200" s="11"/>
      <c r="I200" s="11"/>
    </row>
    <row r="219" spans="1:9" ht="12.75">
      <c r="A219" s="143" t="s">
        <v>335</v>
      </c>
      <c r="B219" s="171" t="s">
        <v>199</v>
      </c>
      <c r="C219" s="143" t="s">
        <v>200</v>
      </c>
      <c r="D219" s="224" t="s">
        <v>286</v>
      </c>
      <c r="E219" s="225"/>
      <c r="F219" s="143" t="s">
        <v>201</v>
      </c>
      <c r="G219" s="143" t="s">
        <v>404</v>
      </c>
      <c r="H219" s="143" t="s">
        <v>202</v>
      </c>
      <c r="I219" s="143" t="s">
        <v>191</v>
      </c>
    </row>
    <row r="220" spans="1:9" ht="12.75">
      <c r="A220" s="173"/>
      <c r="B220" s="173"/>
      <c r="C220" s="173"/>
      <c r="D220" s="143" t="s">
        <v>203</v>
      </c>
      <c r="E220" s="145" t="s">
        <v>204</v>
      </c>
      <c r="F220" s="173" t="s">
        <v>205</v>
      </c>
      <c r="G220" s="173" t="s">
        <v>190</v>
      </c>
      <c r="H220" s="173"/>
      <c r="I220" s="173" t="s">
        <v>206</v>
      </c>
    </row>
    <row r="221" spans="1:9" ht="12.75">
      <c r="A221" s="144"/>
      <c r="B221" s="144"/>
      <c r="C221" s="144"/>
      <c r="D221" s="144" t="s">
        <v>207</v>
      </c>
      <c r="E221" s="103" t="s">
        <v>207</v>
      </c>
      <c r="F221" s="144" t="s">
        <v>208</v>
      </c>
      <c r="G221" s="144"/>
      <c r="H221" s="144"/>
      <c r="I221" s="144"/>
    </row>
    <row r="222" spans="1:9" ht="12.75">
      <c r="A222" s="152">
        <v>1</v>
      </c>
      <c r="B222" s="152">
        <v>2</v>
      </c>
      <c r="C222" s="152">
        <v>3</v>
      </c>
      <c r="D222" s="152">
        <v>4</v>
      </c>
      <c r="E222" s="152">
        <v>5</v>
      </c>
      <c r="F222" s="152">
        <v>6</v>
      </c>
      <c r="G222" s="152">
        <v>7</v>
      </c>
      <c r="H222" s="152">
        <v>8</v>
      </c>
      <c r="I222" s="152">
        <v>9</v>
      </c>
    </row>
    <row r="223" spans="1:9" ht="12.75">
      <c r="A223" s="103"/>
      <c r="B223" s="148"/>
      <c r="C223" s="320"/>
      <c r="D223" s="320"/>
      <c r="E223" s="148"/>
      <c r="F223" s="148"/>
      <c r="G223" s="148"/>
      <c r="H223" s="148"/>
      <c r="I223" s="149"/>
    </row>
    <row r="224" spans="1:9" ht="12.75">
      <c r="A224" s="96"/>
      <c r="B224" s="102"/>
      <c r="C224" s="150"/>
      <c r="D224" s="150"/>
      <c r="E224" s="150"/>
      <c r="F224" s="150"/>
      <c r="G224" s="150"/>
      <c r="H224" s="150"/>
      <c r="I224" s="151"/>
    </row>
    <row r="225" spans="1:9" ht="12.75">
      <c r="A225" s="171"/>
      <c r="B225" s="143"/>
      <c r="C225" s="197"/>
      <c r="D225" s="230"/>
      <c r="E225" s="230"/>
      <c r="F225" s="155"/>
      <c r="G225" s="252"/>
      <c r="H225" s="96"/>
      <c r="I225" s="155"/>
    </row>
    <row r="226" spans="1:9" ht="12.75">
      <c r="A226" s="144"/>
      <c r="B226" s="103"/>
      <c r="C226" s="213"/>
      <c r="D226" s="230"/>
      <c r="E226" s="230"/>
      <c r="F226" s="155"/>
      <c r="G226" s="252"/>
      <c r="H226" s="96"/>
      <c r="I226" s="155"/>
    </row>
    <row r="227" spans="1:9" ht="12.75">
      <c r="A227" s="102"/>
      <c r="B227" s="150"/>
      <c r="C227" s="148"/>
      <c r="D227" s="150"/>
      <c r="E227" s="150"/>
      <c r="F227" s="214"/>
      <c r="G227" s="150"/>
      <c r="H227" s="151"/>
      <c r="I227" s="155"/>
    </row>
    <row r="228" spans="1:9" ht="12.75">
      <c r="A228" s="96"/>
      <c r="B228" s="102"/>
      <c r="C228" s="150"/>
      <c r="D228" s="150"/>
      <c r="E228" s="150"/>
      <c r="F228" s="150"/>
      <c r="G228" s="150"/>
      <c r="H228" s="150"/>
      <c r="I228" s="151"/>
    </row>
    <row r="229" spans="1:9" ht="12.75">
      <c r="A229" s="96"/>
      <c r="B229" s="96"/>
      <c r="C229" s="213"/>
      <c r="D229" s="230"/>
      <c r="E229" s="230"/>
      <c r="F229" s="155"/>
      <c r="G229" s="252"/>
      <c r="H229" s="96"/>
      <c r="I229" s="155"/>
    </row>
    <row r="230" spans="1:9" ht="12.75">
      <c r="A230" s="96"/>
      <c r="B230" s="150"/>
      <c r="C230" s="148"/>
      <c r="D230" s="150"/>
      <c r="E230" s="150"/>
      <c r="F230" s="214"/>
      <c r="G230" s="150"/>
      <c r="H230" s="151"/>
      <c r="I230" s="155"/>
    </row>
    <row r="231" spans="1:9" ht="12.75">
      <c r="A231" s="96"/>
      <c r="B231" s="102"/>
      <c r="C231" s="150"/>
      <c r="D231" s="150"/>
      <c r="E231" s="150"/>
      <c r="F231" s="150"/>
      <c r="G231" s="150"/>
      <c r="H231" s="151"/>
      <c r="I231" s="280"/>
    </row>
    <row r="232" spans="1:9" ht="12.75">
      <c r="A232" s="102"/>
      <c r="B232" s="102"/>
      <c r="C232" s="371"/>
      <c r="D232" s="372"/>
      <c r="E232" s="372"/>
      <c r="F232" s="373"/>
      <c r="G232" s="374"/>
      <c r="H232" s="151"/>
      <c r="I232" s="280"/>
    </row>
    <row r="233" spans="1:9" ht="12.75">
      <c r="A233" s="96"/>
      <c r="B233" s="102"/>
      <c r="C233" s="150"/>
      <c r="D233" s="150"/>
      <c r="E233" s="150"/>
      <c r="F233" s="150"/>
      <c r="G233" s="150"/>
      <c r="H233" s="150"/>
      <c r="I233" s="151"/>
    </row>
    <row r="234" spans="1:9" ht="12.75">
      <c r="A234" s="143"/>
      <c r="B234" s="143"/>
      <c r="C234" s="197"/>
      <c r="D234" s="171"/>
      <c r="E234" s="171"/>
      <c r="F234" s="175"/>
      <c r="G234" s="171"/>
      <c r="H234" s="171"/>
      <c r="I234" s="171"/>
    </row>
    <row r="235" spans="1:9" ht="12.75">
      <c r="A235" s="144"/>
      <c r="B235" s="144"/>
      <c r="C235" s="198"/>
      <c r="D235" s="323"/>
      <c r="E235" s="323"/>
      <c r="F235" s="164"/>
      <c r="G235" s="324"/>
      <c r="H235" s="164"/>
      <c r="I235" s="164"/>
    </row>
    <row r="236" spans="1:9" ht="12.75">
      <c r="A236" s="143"/>
      <c r="B236" s="143"/>
      <c r="C236" s="197"/>
      <c r="D236" s="325"/>
      <c r="E236" s="325"/>
      <c r="F236" s="175"/>
      <c r="G236" s="326"/>
      <c r="H236" s="171"/>
      <c r="I236" s="175"/>
    </row>
    <row r="237" spans="1:9" ht="12.75">
      <c r="A237" s="144"/>
      <c r="B237" s="144"/>
      <c r="C237" s="169"/>
      <c r="D237" s="228"/>
      <c r="E237" s="228"/>
      <c r="F237" s="164"/>
      <c r="G237" s="227"/>
      <c r="H237" s="169"/>
      <c r="I237" s="164"/>
    </row>
  </sheetData>
  <sheetProtection/>
  <printOptions/>
  <pageMargins left="0.7874015748031497" right="0.1968503937007874" top="0.1968503937007874" bottom="0.1968503937007874" header="0.31496062992125984" footer="0.31496062992125984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T200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25390625" style="0" customWidth="1"/>
    <col min="4" max="5" width="10.875" style="0" customWidth="1"/>
    <col min="6" max="6" width="9.375" style="0" bestFit="1" customWidth="1"/>
    <col min="7" max="7" width="9.25390625" style="0" customWidth="1"/>
    <col min="8" max="8" width="8.875" style="0" customWidth="1"/>
    <col min="9" max="9" width="12.00390625" style="0" customWidth="1"/>
    <col min="10" max="10" width="7.25390625" style="0" customWidth="1"/>
    <col min="11" max="11" width="37.625" style="0" customWidth="1"/>
    <col min="12" max="12" width="15.75390625" style="0" customWidth="1"/>
    <col min="13" max="14" width="11.00390625" style="0" customWidth="1"/>
    <col min="15" max="15" width="8.625" style="0" customWidth="1"/>
    <col min="16" max="16" width="9.625" style="0" customWidth="1"/>
    <col min="17" max="17" width="12.625" style="0" customWidth="1"/>
    <col min="18" max="18" width="12.875" style="0" customWidth="1"/>
    <col min="19" max="19" width="6.625" style="0" customWidth="1"/>
    <col min="21" max="21" width="12.625" style="0" customWidth="1"/>
    <col min="22" max="22" width="20.375" style="0" customWidth="1"/>
    <col min="23" max="23" width="16.75390625" style="0" customWidth="1"/>
    <col min="24" max="24" width="15.875" style="0" customWidth="1"/>
    <col min="25" max="25" width="13.75390625" style="0" customWidth="1"/>
    <col min="26" max="26" width="13.125" style="0" customWidth="1"/>
    <col min="27" max="27" width="14.75390625" style="0" customWidth="1"/>
    <col min="28" max="28" width="6.75390625" style="0" customWidth="1"/>
    <col min="31" max="31" width="26.875" style="0" customWidth="1"/>
    <col min="32" max="32" width="15.25390625" style="0" customWidth="1"/>
    <col min="33" max="33" width="13.875" style="0" customWidth="1"/>
    <col min="34" max="34" width="13.625" style="0" customWidth="1"/>
    <col min="35" max="35" width="13.00390625" style="0" customWidth="1"/>
    <col min="36" max="36" width="13.625" style="0" customWidth="1"/>
    <col min="37" max="37" width="7.00390625" style="0" customWidth="1"/>
    <col min="40" max="40" width="23.125" style="0" customWidth="1"/>
    <col min="41" max="41" width="13.00390625" style="0" customWidth="1"/>
    <col min="42" max="42" width="13.875" style="0" customWidth="1"/>
    <col min="43" max="43" width="13.625" style="0" customWidth="1"/>
    <col min="44" max="44" width="13.875" style="0" customWidth="1"/>
    <col min="45" max="45" width="15.00390625" style="0" customWidth="1"/>
    <col min="51" max="51" width="26.75390625" style="0" customWidth="1"/>
    <col min="52" max="52" width="14.875" style="0" customWidth="1"/>
    <col min="53" max="53" width="14.75390625" style="0" customWidth="1"/>
    <col min="54" max="54" width="16.375" style="0" customWidth="1"/>
    <col min="69" max="69" width="9.00390625" style="0" customWidth="1"/>
    <col min="71" max="71" width="7.375" style="0" customWidth="1"/>
    <col min="72" max="72" width="11.125" style="0" customWidth="1"/>
    <col min="78" max="78" width="8.00390625" style="0" customWidth="1"/>
    <col min="81" max="81" width="11.625" style="0" customWidth="1"/>
    <col min="87" max="87" width="12.75390625" style="0" customWidth="1"/>
    <col min="88" max="88" width="10.625" style="0" customWidth="1"/>
    <col min="89" max="89" width="5.125" style="0" hidden="1" customWidth="1"/>
    <col min="90" max="90" width="12.125" style="0" customWidth="1"/>
  </cols>
  <sheetData>
    <row r="1" spans="1:98" ht="12.7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60"/>
      <c r="T1" s="160"/>
      <c r="U1" s="160"/>
      <c r="V1" s="160"/>
      <c r="W1" s="160"/>
      <c r="X1" s="160"/>
      <c r="Y1" s="160"/>
      <c r="Z1" s="160"/>
      <c r="AA1" s="16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60"/>
      <c r="AU1" s="120"/>
      <c r="AV1" s="120"/>
      <c r="AW1" s="120"/>
      <c r="AX1" s="120"/>
      <c r="AY1" s="120"/>
      <c r="AZ1" s="120"/>
      <c r="BA1" s="120"/>
      <c r="BB1" s="120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12.75" customHeight="1">
      <c r="A2" s="120"/>
      <c r="B2" s="120"/>
      <c r="C2" s="120"/>
      <c r="D2" s="120" t="s">
        <v>192</v>
      </c>
      <c r="E2" s="120"/>
      <c r="F2" s="120"/>
      <c r="G2" s="120"/>
      <c r="H2" s="120"/>
      <c r="I2" s="120"/>
      <c r="J2" s="120"/>
      <c r="K2" s="120"/>
      <c r="L2" s="120"/>
      <c r="M2" s="120" t="s">
        <v>288</v>
      </c>
      <c r="N2" s="120"/>
      <c r="O2" s="120"/>
      <c r="P2" s="120"/>
      <c r="Q2" s="120"/>
      <c r="R2" s="120"/>
      <c r="S2" s="160"/>
      <c r="T2" s="160"/>
      <c r="U2" s="160"/>
      <c r="V2" s="160"/>
      <c r="W2" s="160"/>
      <c r="X2" s="160"/>
      <c r="Y2" s="160"/>
      <c r="Z2" s="160"/>
      <c r="AA2" s="160"/>
      <c r="AB2" s="120" t="s">
        <v>325</v>
      </c>
      <c r="AC2" s="120"/>
      <c r="AD2" s="120"/>
      <c r="AE2" s="120"/>
      <c r="AF2" s="120"/>
      <c r="AG2" s="120"/>
      <c r="AH2" s="120"/>
      <c r="AI2" s="120"/>
      <c r="AJ2" s="120"/>
      <c r="AK2" s="120" t="s">
        <v>325</v>
      </c>
      <c r="AL2" s="120"/>
      <c r="AM2" s="120"/>
      <c r="AN2" s="120"/>
      <c r="AO2" s="120"/>
      <c r="AP2" s="120"/>
      <c r="AQ2" s="120"/>
      <c r="AR2" s="120"/>
      <c r="AS2" s="120"/>
      <c r="AT2" s="160" t="s">
        <v>530</v>
      </c>
      <c r="AU2" s="120"/>
      <c r="AV2" s="120"/>
      <c r="AW2" s="120"/>
      <c r="AX2" s="120"/>
      <c r="AY2" s="120"/>
      <c r="AZ2" s="120"/>
      <c r="BA2" s="120"/>
      <c r="BB2" s="120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</row>
    <row r="3" spans="1:98" ht="12.75" customHeight="1">
      <c r="A3" s="120"/>
      <c r="B3" s="120"/>
      <c r="C3" s="120"/>
      <c r="D3" s="120" t="s">
        <v>193</v>
      </c>
      <c r="E3" s="120"/>
      <c r="F3" s="120"/>
      <c r="G3" s="120"/>
      <c r="H3" s="120"/>
      <c r="I3" s="120"/>
      <c r="J3" s="120"/>
      <c r="K3" s="120"/>
      <c r="L3" s="120"/>
      <c r="M3" s="120" t="s">
        <v>289</v>
      </c>
      <c r="N3" s="120"/>
      <c r="O3" s="120"/>
      <c r="P3" s="120"/>
      <c r="Q3" s="120"/>
      <c r="R3" s="120"/>
      <c r="S3" s="120" t="s">
        <v>325</v>
      </c>
      <c r="T3" s="120"/>
      <c r="U3" s="120"/>
      <c r="V3" s="120"/>
      <c r="W3" s="120"/>
      <c r="X3" s="120"/>
      <c r="Y3" s="120"/>
      <c r="Z3" s="120"/>
      <c r="AA3" s="120"/>
      <c r="AB3" s="120" t="s">
        <v>324</v>
      </c>
      <c r="AC3" s="120"/>
      <c r="AD3" s="120"/>
      <c r="AE3" s="120"/>
      <c r="AF3" s="120"/>
      <c r="AG3" s="120"/>
      <c r="AH3" s="120"/>
      <c r="AI3" s="120"/>
      <c r="AJ3" s="120"/>
      <c r="AK3" s="120" t="s">
        <v>324</v>
      </c>
      <c r="AL3" s="120"/>
      <c r="AM3" s="120"/>
      <c r="AN3" s="120"/>
      <c r="AO3" s="120"/>
      <c r="AP3" s="120"/>
      <c r="AQ3" s="120"/>
      <c r="AR3" s="120"/>
      <c r="AS3" s="120"/>
      <c r="AT3" s="160" t="s">
        <v>532</v>
      </c>
      <c r="AU3" s="120"/>
      <c r="AV3" s="120"/>
      <c r="AW3" s="120"/>
      <c r="AX3" s="120"/>
      <c r="AY3" s="120"/>
      <c r="AZ3" s="120"/>
      <c r="BA3" s="120"/>
      <c r="BB3" s="120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12.7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 t="s">
        <v>324</v>
      </c>
      <c r="T4" s="120"/>
      <c r="U4" s="120"/>
      <c r="V4" s="120"/>
      <c r="W4" s="120"/>
      <c r="X4" s="120"/>
      <c r="Y4" s="120"/>
      <c r="Z4" s="120"/>
      <c r="AA4" s="120"/>
      <c r="AB4" s="120" t="s">
        <v>326</v>
      </c>
      <c r="AC4" s="120"/>
      <c r="AD4" s="120"/>
      <c r="AE4" s="120"/>
      <c r="AF4" s="120"/>
      <c r="AG4" s="120"/>
      <c r="AH4" s="120"/>
      <c r="AI4" s="120"/>
      <c r="AJ4" s="120"/>
      <c r="AK4" s="120" t="s">
        <v>326</v>
      </c>
      <c r="AL4" s="120"/>
      <c r="AM4" s="120"/>
      <c r="AN4" s="120"/>
      <c r="AO4" s="120"/>
      <c r="AP4" s="120"/>
      <c r="AQ4" s="120"/>
      <c r="AR4" s="120"/>
      <c r="AS4" s="120"/>
      <c r="AT4" s="160"/>
      <c r="AU4" s="120" t="s">
        <v>400</v>
      </c>
      <c r="AV4" s="120"/>
      <c r="AW4" s="120"/>
      <c r="AX4" s="120"/>
      <c r="AY4" s="254" t="s">
        <v>73</v>
      </c>
      <c r="AZ4" s="254" t="s">
        <v>555</v>
      </c>
      <c r="BA4" s="120"/>
      <c r="BB4" s="120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2.75" customHeight="1">
      <c r="A5" s="120"/>
      <c r="B5" s="120"/>
      <c r="C5" s="120" t="s">
        <v>194</v>
      </c>
      <c r="D5" s="120"/>
      <c r="E5" s="120"/>
      <c r="F5" s="120"/>
      <c r="G5" s="120"/>
      <c r="H5" s="120"/>
      <c r="I5" s="120"/>
      <c r="J5" s="120"/>
      <c r="K5" s="120"/>
      <c r="L5" s="120" t="s">
        <v>194</v>
      </c>
      <c r="M5" s="120"/>
      <c r="N5" s="120"/>
      <c r="O5" s="120"/>
      <c r="P5" s="120"/>
      <c r="Q5" s="120"/>
      <c r="R5" s="120"/>
      <c r="S5" s="120" t="s">
        <v>326</v>
      </c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45"/>
      <c r="AU5" s="146" t="s">
        <v>405</v>
      </c>
      <c r="AV5" s="146"/>
      <c r="AW5" s="146"/>
      <c r="AX5" s="146"/>
      <c r="AY5" s="146"/>
      <c r="AZ5" s="145" t="s">
        <v>406</v>
      </c>
      <c r="BA5" s="145" t="s">
        <v>407</v>
      </c>
      <c r="BB5" s="143" t="s">
        <v>364</v>
      </c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12.75" customHeight="1">
      <c r="A6" s="120"/>
      <c r="B6" s="120"/>
      <c r="C6" s="120"/>
      <c r="D6" s="277" t="s">
        <v>604</v>
      </c>
      <c r="E6" s="277"/>
      <c r="F6" s="120"/>
      <c r="G6" s="120"/>
      <c r="H6" s="120"/>
      <c r="I6" s="120"/>
      <c r="J6" s="120"/>
      <c r="K6" s="120"/>
      <c r="L6" s="120"/>
      <c r="M6" s="277" t="s">
        <v>605</v>
      </c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59"/>
      <c r="AU6" s="160"/>
      <c r="AV6" s="160"/>
      <c r="AW6" s="160"/>
      <c r="AX6" s="160"/>
      <c r="AY6" s="160"/>
      <c r="AZ6" s="159" t="s">
        <v>413</v>
      </c>
      <c r="BA6" s="159" t="s">
        <v>177</v>
      </c>
      <c r="BB6" s="173" t="s">
        <v>80</v>
      </c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12.75" customHeight="1">
      <c r="A7" s="120" t="s">
        <v>528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59"/>
      <c r="AU7" s="160"/>
      <c r="AV7" s="160"/>
      <c r="AW7" s="160"/>
      <c r="AX7" s="160"/>
      <c r="AY7" s="160"/>
      <c r="AZ7" s="103" t="s">
        <v>178</v>
      </c>
      <c r="BA7" s="103"/>
      <c r="BB7" s="144" t="s">
        <v>81</v>
      </c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12.75" customHeight="1">
      <c r="A8" s="120" t="s">
        <v>196</v>
      </c>
      <c r="B8" s="120"/>
      <c r="C8" s="120"/>
      <c r="D8" s="120"/>
      <c r="E8" s="120"/>
      <c r="F8" s="120"/>
      <c r="G8" s="120"/>
      <c r="H8" s="120"/>
      <c r="I8" s="120"/>
      <c r="J8" s="120" t="s">
        <v>528</v>
      </c>
      <c r="K8" s="120"/>
      <c r="L8" s="120"/>
      <c r="M8" s="120"/>
      <c r="N8" s="120"/>
      <c r="O8" s="120"/>
      <c r="P8" s="120"/>
      <c r="Q8" s="120"/>
      <c r="R8" s="120"/>
      <c r="S8" s="120" t="s">
        <v>357</v>
      </c>
      <c r="T8" s="120"/>
      <c r="U8" s="120"/>
      <c r="V8" s="120"/>
      <c r="W8" s="120"/>
      <c r="X8" s="120"/>
      <c r="Y8" s="120"/>
      <c r="Z8" s="120"/>
      <c r="AA8" s="120"/>
      <c r="AB8" s="120" t="s">
        <v>357</v>
      </c>
      <c r="AC8" s="120"/>
      <c r="AD8" s="120"/>
      <c r="AE8" s="120"/>
      <c r="AF8" s="120"/>
      <c r="AG8" s="120"/>
      <c r="AH8" s="120"/>
      <c r="AI8" s="120"/>
      <c r="AJ8" s="120"/>
      <c r="AK8" s="120" t="s">
        <v>357</v>
      </c>
      <c r="AL8" s="120"/>
      <c r="AM8" s="120"/>
      <c r="AN8" s="120"/>
      <c r="AO8" s="120"/>
      <c r="AP8" s="120"/>
      <c r="AQ8" s="120"/>
      <c r="AR8" s="120"/>
      <c r="AS8" s="120"/>
      <c r="AT8" s="145" t="s">
        <v>45</v>
      </c>
      <c r="AU8" s="146"/>
      <c r="AV8" s="146"/>
      <c r="AW8" s="146"/>
      <c r="AX8" s="146"/>
      <c r="AY8" s="147"/>
      <c r="AZ8" s="187">
        <f>I16+I17+I20+I22+I77</f>
        <v>12147941.800000029</v>
      </c>
      <c r="BA8" s="278"/>
      <c r="BB8" s="279">
        <f>BB9+BB14</f>
        <v>20863882.4413</v>
      </c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12.75">
      <c r="A9" s="120" t="s">
        <v>198</v>
      </c>
      <c r="B9" s="120"/>
      <c r="C9" s="120"/>
      <c r="D9" s="120"/>
      <c r="E9" s="120"/>
      <c r="F9" s="120" t="s">
        <v>197</v>
      </c>
      <c r="G9" s="120"/>
      <c r="H9" s="120"/>
      <c r="I9" s="120"/>
      <c r="J9" s="120" t="s">
        <v>196</v>
      </c>
      <c r="K9" s="120"/>
      <c r="L9" s="120"/>
      <c r="M9" s="120"/>
      <c r="N9" s="120"/>
      <c r="O9" s="120" t="s">
        <v>197</v>
      </c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255" t="s">
        <v>383</v>
      </c>
      <c r="AU9" s="256"/>
      <c r="AV9" s="256"/>
      <c r="AW9" s="256"/>
      <c r="AX9" s="146"/>
      <c r="AY9" s="147"/>
      <c r="AZ9" s="280">
        <f>AZ11+AZ12</f>
        <v>6405454</v>
      </c>
      <c r="BA9" s="281">
        <f>(BB12+BB11)/AZ9</f>
        <v>3.2570671338487482</v>
      </c>
      <c r="BB9" s="279">
        <f>BB10+BB11+BB12+BB13</f>
        <v>20862993.70078</v>
      </c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12.75">
      <c r="A10" s="143" t="s">
        <v>335</v>
      </c>
      <c r="B10" s="171" t="s">
        <v>199</v>
      </c>
      <c r="C10" s="143" t="s">
        <v>200</v>
      </c>
      <c r="D10" s="224" t="s">
        <v>286</v>
      </c>
      <c r="E10" s="225"/>
      <c r="F10" s="143" t="s">
        <v>201</v>
      </c>
      <c r="G10" s="143" t="s">
        <v>404</v>
      </c>
      <c r="H10" s="143" t="s">
        <v>202</v>
      </c>
      <c r="I10" s="143" t="s">
        <v>191</v>
      </c>
      <c r="J10" s="120" t="s">
        <v>198</v>
      </c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277" t="s">
        <v>606</v>
      </c>
      <c r="Z10" s="120"/>
      <c r="AA10" s="120"/>
      <c r="AB10" s="120"/>
      <c r="AC10" s="120"/>
      <c r="AD10" s="120"/>
      <c r="AE10" s="120"/>
      <c r="AF10" s="120"/>
      <c r="AG10" s="120"/>
      <c r="AH10" s="277" t="s">
        <v>606</v>
      </c>
      <c r="AI10" s="120"/>
      <c r="AJ10" s="120"/>
      <c r="AK10" s="120"/>
      <c r="AL10" s="120"/>
      <c r="AM10" s="120"/>
      <c r="AN10" s="120"/>
      <c r="AO10" s="120"/>
      <c r="AP10" s="120"/>
      <c r="AQ10" s="277" t="s">
        <v>606</v>
      </c>
      <c r="AR10" s="120"/>
      <c r="AS10" s="120"/>
      <c r="AT10" s="145" t="s">
        <v>179</v>
      </c>
      <c r="AU10" s="146"/>
      <c r="AV10" s="146"/>
      <c r="AW10" s="146"/>
      <c r="AX10" s="146"/>
      <c r="AY10" s="147"/>
      <c r="AZ10" s="282"/>
      <c r="BA10" s="283">
        <v>0</v>
      </c>
      <c r="BB10" s="284">
        <f>AZ10*BA10</f>
        <v>0</v>
      </c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12.75">
      <c r="A11" s="173"/>
      <c r="B11" s="173"/>
      <c r="C11" s="173"/>
      <c r="D11" s="143" t="s">
        <v>203</v>
      </c>
      <c r="E11" s="145" t="s">
        <v>204</v>
      </c>
      <c r="F11" s="173" t="s">
        <v>205</v>
      </c>
      <c r="G11" s="173" t="s">
        <v>190</v>
      </c>
      <c r="H11" s="173"/>
      <c r="I11" s="173" t="s">
        <v>206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45" t="s">
        <v>180</v>
      </c>
      <c r="AU11" s="146"/>
      <c r="AV11" s="146"/>
      <c r="AW11" s="146"/>
      <c r="AX11" s="146"/>
      <c r="AY11" s="147"/>
      <c r="AZ11" s="155">
        <f>I81+I73</f>
        <v>2728.000000000022</v>
      </c>
      <c r="BA11" s="285">
        <v>4.98715</v>
      </c>
      <c r="BB11" s="284">
        <f>AZ11*BA11</f>
        <v>13604.945200000107</v>
      </c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12.75">
      <c r="A12" s="144"/>
      <c r="B12" s="144"/>
      <c r="C12" s="144"/>
      <c r="D12" s="144" t="s">
        <v>207</v>
      </c>
      <c r="E12" s="103" t="s">
        <v>207</v>
      </c>
      <c r="F12" s="144" t="s">
        <v>208</v>
      </c>
      <c r="G12" s="144"/>
      <c r="H12" s="144"/>
      <c r="I12" s="144"/>
      <c r="J12" s="143" t="s">
        <v>335</v>
      </c>
      <c r="K12" s="171" t="s">
        <v>199</v>
      </c>
      <c r="L12" s="143" t="s">
        <v>200</v>
      </c>
      <c r="M12" s="224" t="s">
        <v>464</v>
      </c>
      <c r="N12" s="225"/>
      <c r="O12" s="143" t="s">
        <v>201</v>
      </c>
      <c r="P12" s="143" t="s">
        <v>404</v>
      </c>
      <c r="Q12" s="143" t="s">
        <v>202</v>
      </c>
      <c r="R12" s="143" t="s">
        <v>191</v>
      </c>
      <c r="S12" s="143" t="s">
        <v>335</v>
      </c>
      <c r="T12" s="145" t="s">
        <v>336</v>
      </c>
      <c r="U12" s="146"/>
      <c r="V12" s="147"/>
      <c r="W12" s="102" t="s">
        <v>337</v>
      </c>
      <c r="X12" s="150"/>
      <c r="Y12" s="150"/>
      <c r="Z12" s="150"/>
      <c r="AA12" s="151"/>
      <c r="AB12" s="143" t="s">
        <v>335</v>
      </c>
      <c r="AC12" s="145" t="s">
        <v>336</v>
      </c>
      <c r="AD12" s="146"/>
      <c r="AE12" s="147"/>
      <c r="AF12" s="102" t="s">
        <v>337</v>
      </c>
      <c r="AG12" s="150"/>
      <c r="AH12" s="150"/>
      <c r="AI12" s="150"/>
      <c r="AJ12" s="151"/>
      <c r="AK12" s="143" t="s">
        <v>335</v>
      </c>
      <c r="AL12" s="145" t="s">
        <v>336</v>
      </c>
      <c r="AM12" s="146"/>
      <c r="AN12" s="147"/>
      <c r="AO12" s="102" t="s">
        <v>337</v>
      </c>
      <c r="AP12" s="150"/>
      <c r="AQ12" s="150"/>
      <c r="AR12" s="150"/>
      <c r="AS12" s="151"/>
      <c r="AT12" s="145" t="s">
        <v>181</v>
      </c>
      <c r="AU12" s="146"/>
      <c r="AV12" s="146"/>
      <c r="AW12" s="146"/>
      <c r="AX12" s="146"/>
      <c r="AY12" s="147"/>
      <c r="AZ12" s="280">
        <f>I75</f>
        <v>6402726</v>
      </c>
      <c r="BA12" s="286">
        <v>3.25633</v>
      </c>
      <c r="BB12" s="284">
        <f>AZ12*BA12</f>
        <v>20849388.75558</v>
      </c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12.75">
      <c r="A13" s="152">
        <v>1</v>
      </c>
      <c r="B13" s="152">
        <v>2</v>
      </c>
      <c r="C13" s="152">
        <v>3</v>
      </c>
      <c r="D13" s="152">
        <v>4</v>
      </c>
      <c r="E13" s="152">
        <v>5</v>
      </c>
      <c r="F13" s="152">
        <v>6</v>
      </c>
      <c r="G13" s="152">
        <v>7</v>
      </c>
      <c r="H13" s="152">
        <v>8</v>
      </c>
      <c r="I13" s="152">
        <v>9</v>
      </c>
      <c r="J13" s="173"/>
      <c r="K13" s="173"/>
      <c r="L13" s="173"/>
      <c r="M13" s="143" t="s">
        <v>203</v>
      </c>
      <c r="N13" s="145" t="s">
        <v>204</v>
      </c>
      <c r="O13" s="173" t="s">
        <v>205</v>
      </c>
      <c r="P13" s="173" t="s">
        <v>190</v>
      </c>
      <c r="Q13" s="173"/>
      <c r="R13" s="173" t="s">
        <v>206</v>
      </c>
      <c r="S13" s="144"/>
      <c r="T13" s="103"/>
      <c r="U13" s="148"/>
      <c r="V13" s="149"/>
      <c r="W13" s="152" t="s">
        <v>338</v>
      </c>
      <c r="X13" s="152" t="s">
        <v>339</v>
      </c>
      <c r="Y13" s="152" t="s">
        <v>340</v>
      </c>
      <c r="Z13" s="152" t="s">
        <v>341</v>
      </c>
      <c r="AA13" s="152" t="s">
        <v>342</v>
      </c>
      <c r="AB13" s="144"/>
      <c r="AC13" s="103"/>
      <c r="AD13" s="148"/>
      <c r="AE13" s="149"/>
      <c r="AF13" s="152" t="s">
        <v>338</v>
      </c>
      <c r="AG13" s="152" t="s">
        <v>339</v>
      </c>
      <c r="AH13" s="152" t="s">
        <v>340</v>
      </c>
      <c r="AI13" s="152" t="s">
        <v>341</v>
      </c>
      <c r="AJ13" s="152" t="s">
        <v>342</v>
      </c>
      <c r="AK13" s="144"/>
      <c r="AL13" s="103"/>
      <c r="AM13" s="148"/>
      <c r="AN13" s="149"/>
      <c r="AO13" s="152" t="s">
        <v>338</v>
      </c>
      <c r="AP13" s="152" t="s">
        <v>339</v>
      </c>
      <c r="AQ13" s="152" t="s">
        <v>340</v>
      </c>
      <c r="AR13" s="152" t="s">
        <v>341</v>
      </c>
      <c r="AS13" s="152" t="s">
        <v>342</v>
      </c>
      <c r="AT13" s="102" t="s">
        <v>173</v>
      </c>
      <c r="AU13" s="150"/>
      <c r="AV13" s="150"/>
      <c r="AW13" s="150"/>
      <c r="AX13" s="150"/>
      <c r="AY13" s="151"/>
      <c r="AZ13" s="280"/>
      <c r="BA13" s="257"/>
      <c r="BB13" s="284">
        <f>BA13*AZ13</f>
        <v>0</v>
      </c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12.75">
      <c r="A14" s="103"/>
      <c r="B14" s="148"/>
      <c r="C14" s="320" t="s">
        <v>209</v>
      </c>
      <c r="D14" s="320"/>
      <c r="E14" s="148"/>
      <c r="F14" s="148"/>
      <c r="G14" s="148"/>
      <c r="H14" s="148"/>
      <c r="I14" s="149"/>
      <c r="J14" s="144"/>
      <c r="K14" s="144"/>
      <c r="L14" s="144"/>
      <c r="M14" s="144" t="s">
        <v>207</v>
      </c>
      <c r="N14" s="103" t="s">
        <v>207</v>
      </c>
      <c r="O14" s="144" t="s">
        <v>208</v>
      </c>
      <c r="P14" s="144"/>
      <c r="Q14" s="144"/>
      <c r="R14" s="144"/>
      <c r="S14" s="152">
        <v>1</v>
      </c>
      <c r="T14" s="96" t="s">
        <v>159</v>
      </c>
      <c r="U14" s="96"/>
      <c r="V14" s="96"/>
      <c r="W14" s="155">
        <f aca="true" t="shared" si="0" ref="W14:W25">SUM(X14:AA14)</f>
        <v>5513582</v>
      </c>
      <c r="X14" s="155">
        <f>SUM(X15:X26)</f>
        <v>4788342</v>
      </c>
      <c r="Y14" s="155">
        <f>SUM(Y15:Y27)</f>
        <v>0</v>
      </c>
      <c r="Z14" s="155">
        <f>SUM(Z15:Z26)</f>
        <v>725240</v>
      </c>
      <c r="AA14" s="152">
        <f>SUM(AA15:AA27)</f>
        <v>0</v>
      </c>
      <c r="AB14" s="152"/>
      <c r="AC14" s="96" t="s">
        <v>136</v>
      </c>
      <c r="AD14" s="96"/>
      <c r="AE14" s="96"/>
      <c r="AF14" s="163">
        <f>SUM(AG14:AJ14)</f>
        <v>165579</v>
      </c>
      <c r="AG14" s="155">
        <f>SUM(AG16:AG22)</f>
        <v>158080</v>
      </c>
      <c r="AH14" s="155">
        <f>SUM(AH16:AH22)</f>
        <v>0</v>
      </c>
      <c r="AI14" s="155">
        <f>SUM(AI16:AI22)</f>
        <v>7499</v>
      </c>
      <c r="AJ14" s="152">
        <f>SUM(AJ16:AJ22)</f>
        <v>0</v>
      </c>
      <c r="AK14" s="171">
        <v>1</v>
      </c>
      <c r="AL14" s="143" t="s">
        <v>136</v>
      </c>
      <c r="AM14" s="143"/>
      <c r="AN14" s="143"/>
      <c r="AO14" s="175">
        <f>SUM(AP14:AS14)</f>
        <v>63546</v>
      </c>
      <c r="AP14" s="175">
        <f>SUM(AP16:AP17)</f>
        <v>0</v>
      </c>
      <c r="AQ14" s="175">
        <f>SUM(AQ16:AQ17)</f>
        <v>0</v>
      </c>
      <c r="AR14" s="175">
        <f>ROUND(SUM(AR16:AR20),0)</f>
        <v>63546</v>
      </c>
      <c r="AS14" s="171">
        <f>SUM(AS16:AS17)</f>
        <v>0</v>
      </c>
      <c r="AT14" s="144" t="s">
        <v>423</v>
      </c>
      <c r="AU14" s="144"/>
      <c r="AV14" s="144"/>
      <c r="AW14" s="144"/>
      <c r="AX14" s="144"/>
      <c r="AY14" s="144"/>
      <c r="AZ14" s="280">
        <f>SUM(AZ15:AZ21)</f>
        <v>243</v>
      </c>
      <c r="BA14" s="287"/>
      <c r="BB14" s="284">
        <f>SUM(BB15:BB21)</f>
        <v>888.7405200000001</v>
      </c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12.75">
      <c r="A15" s="103"/>
      <c r="B15" s="102" t="s">
        <v>520</v>
      </c>
      <c r="C15" s="320"/>
      <c r="D15" s="320"/>
      <c r="E15" s="148"/>
      <c r="F15" s="148"/>
      <c r="G15" s="148"/>
      <c r="H15" s="148"/>
      <c r="I15" s="149"/>
      <c r="J15" s="152">
        <v>1</v>
      </c>
      <c r="K15" s="152">
        <v>2</v>
      </c>
      <c r="L15" s="152">
        <v>3</v>
      </c>
      <c r="M15" s="152">
        <v>4</v>
      </c>
      <c r="N15" s="152">
        <v>5</v>
      </c>
      <c r="O15" s="152">
        <v>6</v>
      </c>
      <c r="P15" s="152">
        <v>7</v>
      </c>
      <c r="Q15" s="152">
        <v>8</v>
      </c>
      <c r="R15" s="152">
        <v>9</v>
      </c>
      <c r="S15" s="170" t="s">
        <v>145</v>
      </c>
      <c r="T15" s="145" t="s">
        <v>121</v>
      </c>
      <c r="U15" s="146"/>
      <c r="V15" s="146"/>
      <c r="W15" s="163">
        <f t="shared" si="0"/>
        <v>3139313</v>
      </c>
      <c r="X15" s="193">
        <f>ROUND(I20,0)</f>
        <v>3139313</v>
      </c>
      <c r="Y15" s="171">
        <v>0</v>
      </c>
      <c r="Z15" s="171">
        <v>0</v>
      </c>
      <c r="AA15" s="171">
        <v>0</v>
      </c>
      <c r="AB15" s="171">
        <v>1</v>
      </c>
      <c r="AC15" s="145" t="s">
        <v>543</v>
      </c>
      <c r="AD15" s="146"/>
      <c r="AE15" s="147"/>
      <c r="AF15" s="162"/>
      <c r="AG15" s="165"/>
      <c r="AH15" s="165"/>
      <c r="AI15" s="165"/>
      <c r="AJ15" s="303"/>
      <c r="AK15" s="319"/>
      <c r="AL15" s="145" t="s">
        <v>545</v>
      </c>
      <c r="AM15" s="146"/>
      <c r="AN15" s="147"/>
      <c r="AO15" s="175"/>
      <c r="AP15" s="171"/>
      <c r="AQ15" s="171"/>
      <c r="AR15" s="175"/>
      <c r="AS15" s="171"/>
      <c r="AT15" s="147" t="s">
        <v>174</v>
      </c>
      <c r="AU15" s="143"/>
      <c r="AV15" s="143"/>
      <c r="AW15" s="143"/>
      <c r="AX15" s="143"/>
      <c r="AY15" s="143"/>
      <c r="AZ15" s="155">
        <f>AS57-AZ16</f>
        <v>0</v>
      </c>
      <c r="BA15" s="288"/>
      <c r="BB15" s="284">
        <f>AZ15*BA15</f>
        <v>0</v>
      </c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12.75">
      <c r="A16" s="171">
        <v>1</v>
      </c>
      <c r="B16" s="143" t="s">
        <v>249</v>
      </c>
      <c r="C16" s="197">
        <v>804152757</v>
      </c>
      <c r="D16" s="230">
        <v>4665.781</v>
      </c>
      <c r="E16" s="230">
        <v>4750.8215</v>
      </c>
      <c r="F16" s="155">
        <v>36000</v>
      </c>
      <c r="G16" s="252">
        <f>E16-D16</f>
        <v>85.04050000000007</v>
      </c>
      <c r="H16" s="96"/>
      <c r="I16" s="155">
        <f>ROUND((F16*G16+H16),0)</f>
        <v>3061458</v>
      </c>
      <c r="J16" s="103"/>
      <c r="K16" s="148"/>
      <c r="L16" s="148" t="s">
        <v>209</v>
      </c>
      <c r="M16" s="148"/>
      <c r="N16" s="148"/>
      <c r="O16" s="148"/>
      <c r="P16" s="148"/>
      <c r="Q16" s="148"/>
      <c r="R16" s="149"/>
      <c r="S16" s="157" t="s">
        <v>146</v>
      </c>
      <c r="T16" s="159" t="s">
        <v>122</v>
      </c>
      <c r="U16" s="160"/>
      <c r="V16" s="160"/>
      <c r="W16" s="163">
        <f t="shared" si="0"/>
        <v>0</v>
      </c>
      <c r="X16" s="186">
        <f>ROUND(I27,0)</f>
        <v>0</v>
      </c>
      <c r="Y16" s="168">
        <v>0</v>
      </c>
      <c r="Z16" s="163">
        <v>0</v>
      </c>
      <c r="AA16" s="168">
        <v>0</v>
      </c>
      <c r="AB16" s="157" t="s">
        <v>145</v>
      </c>
      <c r="AC16" s="159" t="s">
        <v>343</v>
      </c>
      <c r="AD16" s="160"/>
      <c r="AE16" s="161"/>
      <c r="AF16" s="163">
        <f>AG16+AH16+AI16+AJ16</f>
        <v>158080</v>
      </c>
      <c r="AG16" s="163">
        <v>158080</v>
      </c>
      <c r="AH16" s="168">
        <v>0</v>
      </c>
      <c r="AI16" s="163">
        <v>0</v>
      </c>
      <c r="AJ16" s="192">
        <v>0</v>
      </c>
      <c r="AK16" s="157" t="s">
        <v>145</v>
      </c>
      <c r="AL16" s="159" t="s">
        <v>84</v>
      </c>
      <c r="AM16" s="160"/>
      <c r="AN16" s="161"/>
      <c r="AO16" s="163">
        <f>AP16+AQ16+AR16+AS16</f>
        <v>228</v>
      </c>
      <c r="AP16" s="168">
        <v>0</v>
      </c>
      <c r="AQ16" s="168">
        <v>0</v>
      </c>
      <c r="AR16" s="163">
        <v>228</v>
      </c>
      <c r="AS16" s="168">
        <v>0</v>
      </c>
      <c r="AT16" s="147" t="s">
        <v>174</v>
      </c>
      <c r="AU16" s="143"/>
      <c r="AV16" s="143"/>
      <c r="AW16" s="143"/>
      <c r="AX16" s="143"/>
      <c r="AY16" s="143"/>
      <c r="AZ16" s="155">
        <f>AS57/100*80</f>
        <v>0</v>
      </c>
      <c r="BA16" s="289"/>
      <c r="BB16" s="284">
        <f>AZ16*BA16</f>
        <v>0</v>
      </c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12.75">
      <c r="A17" s="144"/>
      <c r="B17" s="103" t="s">
        <v>250</v>
      </c>
      <c r="C17" s="213">
        <v>109054169</v>
      </c>
      <c r="D17" s="230">
        <v>7143.056</v>
      </c>
      <c r="E17" s="230">
        <v>7305.9858</v>
      </c>
      <c r="F17" s="155">
        <v>36000</v>
      </c>
      <c r="G17" s="252">
        <f>E17-D17</f>
        <v>162.9298000000008</v>
      </c>
      <c r="H17" s="96"/>
      <c r="I17" s="155">
        <f>F17*G17+H17</f>
        <v>5865472.800000029</v>
      </c>
      <c r="J17" s="96"/>
      <c r="K17" s="102" t="s">
        <v>210</v>
      </c>
      <c r="L17" s="150"/>
      <c r="M17" s="150"/>
      <c r="N17" s="150"/>
      <c r="O17" s="150"/>
      <c r="P17" s="150"/>
      <c r="Q17" s="150"/>
      <c r="R17" s="151"/>
      <c r="S17" s="157" t="s">
        <v>147</v>
      </c>
      <c r="T17" s="159" t="s">
        <v>123</v>
      </c>
      <c r="U17" s="160"/>
      <c r="V17" s="160"/>
      <c r="W17" s="163">
        <f t="shared" si="0"/>
        <v>370882</v>
      </c>
      <c r="X17" s="186">
        <f>ROUND(I29,0)</f>
        <v>370882</v>
      </c>
      <c r="Y17" s="168">
        <v>0</v>
      </c>
      <c r="Z17" s="163">
        <v>0</v>
      </c>
      <c r="AA17" s="168">
        <v>0</v>
      </c>
      <c r="AB17" s="157" t="s">
        <v>146</v>
      </c>
      <c r="AC17" s="159" t="s">
        <v>172</v>
      </c>
      <c r="AD17" s="160"/>
      <c r="AE17" s="161"/>
      <c r="AF17" s="163">
        <f>AG17+AH17+AI17+AJ17</f>
        <v>2525</v>
      </c>
      <c r="AG17" s="168">
        <v>0</v>
      </c>
      <c r="AH17" s="168">
        <v>0</v>
      </c>
      <c r="AI17" s="163">
        <v>2525</v>
      </c>
      <c r="AJ17" s="192">
        <v>0</v>
      </c>
      <c r="AK17" s="157" t="s">
        <v>146</v>
      </c>
      <c r="AL17" s="159" t="s">
        <v>277</v>
      </c>
      <c r="AM17" s="160"/>
      <c r="AN17" s="161"/>
      <c r="AO17" s="163">
        <f>AP17+AQ17+AR17+AS17</f>
        <v>4995</v>
      </c>
      <c r="AP17" s="168">
        <v>0</v>
      </c>
      <c r="AQ17" s="168">
        <v>0</v>
      </c>
      <c r="AR17" s="163">
        <v>4995</v>
      </c>
      <c r="AS17" s="168">
        <v>0</v>
      </c>
      <c r="AT17" s="146" t="s">
        <v>141</v>
      </c>
      <c r="AU17" s="146"/>
      <c r="AV17" s="146"/>
      <c r="AW17" s="146"/>
      <c r="AX17" s="146"/>
      <c r="AY17" s="147"/>
      <c r="AZ17" s="280">
        <f>R21</f>
        <v>120</v>
      </c>
      <c r="BA17" s="290">
        <v>3.41</v>
      </c>
      <c r="BB17" s="284">
        <f>AZ17*BA17</f>
        <v>409.20000000000005</v>
      </c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12.75">
      <c r="A18" s="102"/>
      <c r="B18" s="150"/>
      <c r="C18" s="148"/>
      <c r="D18" s="150"/>
      <c r="E18" s="150"/>
      <c r="F18" s="214" t="s">
        <v>212</v>
      </c>
      <c r="G18" s="150"/>
      <c r="H18" s="151"/>
      <c r="I18" s="155">
        <f>ROUND((I16+I17+I22),0)</f>
        <v>9005901</v>
      </c>
      <c r="J18" s="152">
        <v>1</v>
      </c>
      <c r="K18" s="102" t="s">
        <v>211</v>
      </c>
      <c r="L18" s="150"/>
      <c r="M18" s="150"/>
      <c r="N18" s="150"/>
      <c r="O18" s="150"/>
      <c r="P18" s="150"/>
      <c r="Q18" s="150"/>
      <c r="R18" s="151"/>
      <c r="S18" s="157" t="s">
        <v>148</v>
      </c>
      <c r="T18" s="159" t="s">
        <v>124</v>
      </c>
      <c r="U18" s="160"/>
      <c r="V18" s="160"/>
      <c r="W18" s="163">
        <f t="shared" si="0"/>
        <v>253553</v>
      </c>
      <c r="X18" s="186">
        <f>ROUND(I31,0)</f>
        <v>253553</v>
      </c>
      <c r="Y18" s="168">
        <v>0</v>
      </c>
      <c r="Z18" s="163">
        <v>0</v>
      </c>
      <c r="AA18" s="168">
        <v>0</v>
      </c>
      <c r="AB18" s="158" t="s">
        <v>147</v>
      </c>
      <c r="AC18" s="148" t="s">
        <v>156</v>
      </c>
      <c r="AD18" s="148"/>
      <c r="AE18" s="148"/>
      <c r="AF18" s="164">
        <f>AG18+AH18+AI18+AJ18</f>
        <v>4974</v>
      </c>
      <c r="AG18" s="169">
        <v>0</v>
      </c>
      <c r="AH18" s="169">
        <v>0</v>
      </c>
      <c r="AI18" s="164">
        <v>4974</v>
      </c>
      <c r="AJ18" s="318">
        <v>0</v>
      </c>
      <c r="AK18" s="157" t="s">
        <v>147</v>
      </c>
      <c r="AL18" s="159" t="s">
        <v>135</v>
      </c>
      <c r="AM18" s="160"/>
      <c r="AN18" s="161"/>
      <c r="AO18" s="163">
        <f>AP18+AQ18+AR18+AS18</f>
        <v>45929</v>
      </c>
      <c r="AP18" s="168">
        <v>0</v>
      </c>
      <c r="AQ18" s="168">
        <v>0</v>
      </c>
      <c r="AR18" s="163">
        <v>45929</v>
      </c>
      <c r="AS18" s="168">
        <v>0</v>
      </c>
      <c r="AT18" s="146" t="s">
        <v>142</v>
      </c>
      <c r="AU18" s="146"/>
      <c r="AV18" s="146"/>
      <c r="AW18" s="146"/>
      <c r="AX18" s="146"/>
      <c r="AY18" s="147"/>
      <c r="AZ18" s="280">
        <f>R22</f>
        <v>60</v>
      </c>
      <c r="BA18" s="290">
        <v>1.35</v>
      </c>
      <c r="BB18" s="284">
        <f>AZ18*BA18</f>
        <v>81</v>
      </c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12.75">
      <c r="A19" s="96" t="s">
        <v>213</v>
      </c>
      <c r="B19" s="102" t="s">
        <v>466</v>
      </c>
      <c r="C19" s="150"/>
      <c r="D19" s="150"/>
      <c r="E19" s="150"/>
      <c r="F19" s="150"/>
      <c r="G19" s="150"/>
      <c r="H19" s="150"/>
      <c r="I19" s="151"/>
      <c r="J19" s="171" t="s">
        <v>213</v>
      </c>
      <c r="K19" s="143" t="s">
        <v>290</v>
      </c>
      <c r="L19" s="171">
        <v>16654</v>
      </c>
      <c r="M19" s="234">
        <v>5365</v>
      </c>
      <c r="N19" s="234">
        <v>5428</v>
      </c>
      <c r="O19" s="171">
        <v>1</v>
      </c>
      <c r="P19" s="258">
        <f>N19-M19</f>
        <v>63</v>
      </c>
      <c r="Q19" s="259"/>
      <c r="R19" s="175">
        <f>O19*P19+Q19</f>
        <v>63</v>
      </c>
      <c r="S19" s="157" t="s">
        <v>153</v>
      </c>
      <c r="T19" s="159" t="s">
        <v>125</v>
      </c>
      <c r="U19" s="160"/>
      <c r="V19" s="160"/>
      <c r="W19" s="163">
        <f t="shared" si="0"/>
        <v>0</v>
      </c>
      <c r="X19" s="186">
        <f>ROUND(I33,0)</f>
        <v>0</v>
      </c>
      <c r="Y19" s="168">
        <v>0</v>
      </c>
      <c r="Z19" s="168">
        <v>0</v>
      </c>
      <c r="AA19" s="168">
        <v>0</v>
      </c>
      <c r="AB19" s="179"/>
      <c r="AC19" s="160"/>
      <c r="AD19" s="160"/>
      <c r="AE19" s="160"/>
      <c r="AF19" s="180"/>
      <c r="AG19" s="181"/>
      <c r="AH19" s="181"/>
      <c r="AI19" s="180"/>
      <c r="AJ19" s="181"/>
      <c r="AK19" s="157" t="s">
        <v>148</v>
      </c>
      <c r="AL19" s="159" t="s">
        <v>158</v>
      </c>
      <c r="AM19" s="160"/>
      <c r="AN19" s="161"/>
      <c r="AO19" s="163">
        <f>AP19+AQ19+AR19+AS19</f>
        <v>825</v>
      </c>
      <c r="AP19" s="163">
        <v>0</v>
      </c>
      <c r="AQ19" s="168">
        <v>0</v>
      </c>
      <c r="AR19" s="163">
        <v>825</v>
      </c>
      <c r="AS19" s="168">
        <v>0</v>
      </c>
      <c r="AT19" s="146" t="s">
        <v>182</v>
      </c>
      <c r="AU19" s="146"/>
      <c r="AV19" s="146"/>
      <c r="AW19" s="146"/>
      <c r="AX19" s="146"/>
      <c r="AY19" s="147"/>
      <c r="AZ19" s="291">
        <f>R19+R20</f>
        <v>63</v>
      </c>
      <c r="BA19" s="285">
        <v>6.32604</v>
      </c>
      <c r="BB19" s="284">
        <f>AZ19*BA19</f>
        <v>398.54052</v>
      </c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12.75">
      <c r="A20" s="96" t="s">
        <v>215</v>
      </c>
      <c r="B20" s="96" t="s">
        <v>216</v>
      </c>
      <c r="C20" s="213">
        <v>109053225</v>
      </c>
      <c r="D20" s="230">
        <v>18786.2392</v>
      </c>
      <c r="E20" s="230">
        <v>18935.7303</v>
      </c>
      <c r="F20" s="155">
        <v>21000</v>
      </c>
      <c r="G20" s="252">
        <f>E20-D20</f>
        <v>149.49109999999928</v>
      </c>
      <c r="H20" s="96"/>
      <c r="I20" s="155">
        <f>ROUND((F20*G20+H20),0)</f>
        <v>3139313</v>
      </c>
      <c r="J20" s="144"/>
      <c r="K20" s="144" t="s">
        <v>291</v>
      </c>
      <c r="L20" s="144"/>
      <c r="M20" s="144"/>
      <c r="N20" s="144"/>
      <c r="O20" s="144"/>
      <c r="P20" s="185"/>
      <c r="Q20" s="260"/>
      <c r="R20" s="276"/>
      <c r="S20" s="157" t="s">
        <v>157</v>
      </c>
      <c r="T20" s="159" t="s">
        <v>126</v>
      </c>
      <c r="U20" s="160"/>
      <c r="V20" s="160"/>
      <c r="W20" s="163">
        <f t="shared" si="0"/>
        <v>432245</v>
      </c>
      <c r="X20" s="186">
        <f>ROUND(I35,0)</f>
        <v>432245</v>
      </c>
      <c r="Y20" s="168">
        <v>0</v>
      </c>
      <c r="Z20" s="163">
        <v>0</v>
      </c>
      <c r="AA20" s="168">
        <v>0</v>
      </c>
      <c r="AB20" s="179"/>
      <c r="AC20" s="160"/>
      <c r="AD20" s="160"/>
      <c r="AE20" s="160"/>
      <c r="AF20" s="180"/>
      <c r="AG20" s="180"/>
      <c r="AH20" s="181"/>
      <c r="AI20" s="180"/>
      <c r="AJ20" s="181"/>
      <c r="AK20" s="158" t="s">
        <v>153</v>
      </c>
      <c r="AL20" s="103" t="s">
        <v>544</v>
      </c>
      <c r="AM20" s="148"/>
      <c r="AN20" s="149"/>
      <c r="AO20" s="164">
        <f>AP20+AQ20+AR20+AS20</f>
        <v>11569</v>
      </c>
      <c r="AP20" s="164"/>
      <c r="AQ20" s="169"/>
      <c r="AR20" s="164">
        <v>11569</v>
      </c>
      <c r="AS20" s="169"/>
      <c r="AT20" s="146" t="s">
        <v>416</v>
      </c>
      <c r="AU20" s="146"/>
      <c r="AV20" s="146"/>
      <c r="AW20" s="146"/>
      <c r="AX20" s="146"/>
      <c r="AY20" s="147"/>
      <c r="AZ20" s="280"/>
      <c r="BA20" s="290"/>
      <c r="BB20" s="279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12.75">
      <c r="A21" s="96" t="s">
        <v>521</v>
      </c>
      <c r="B21" s="150" t="s">
        <v>524</v>
      </c>
      <c r="C21" s="148"/>
      <c r="D21" s="150"/>
      <c r="E21" s="150"/>
      <c r="F21" s="214"/>
      <c r="G21" s="150"/>
      <c r="H21" s="151"/>
      <c r="I21" s="155"/>
      <c r="J21" s="143" t="s">
        <v>219</v>
      </c>
      <c r="K21" s="143" t="s">
        <v>293</v>
      </c>
      <c r="L21" s="377">
        <v>122848480</v>
      </c>
      <c r="M21" s="376">
        <v>500</v>
      </c>
      <c r="N21" s="376">
        <v>506</v>
      </c>
      <c r="O21" s="152">
        <v>20</v>
      </c>
      <c r="P21" s="375">
        <f>N21-M21</f>
        <v>6</v>
      </c>
      <c r="Q21" s="261"/>
      <c r="R21" s="155">
        <f>O21*P21+Q21</f>
        <v>120</v>
      </c>
      <c r="S21" s="157" t="s">
        <v>161</v>
      </c>
      <c r="T21" s="159" t="s">
        <v>127</v>
      </c>
      <c r="U21" s="160"/>
      <c r="V21" s="160"/>
      <c r="W21" s="163">
        <f t="shared" si="0"/>
        <v>165926</v>
      </c>
      <c r="X21" s="186">
        <f>ROUND(I37,0)</f>
        <v>165926</v>
      </c>
      <c r="Y21" s="168">
        <v>0</v>
      </c>
      <c r="Z21" s="163">
        <v>0</v>
      </c>
      <c r="AA21" s="168">
        <v>0</v>
      </c>
      <c r="AB21" s="179"/>
      <c r="AC21" s="160"/>
      <c r="AD21" s="160"/>
      <c r="AE21" s="160"/>
      <c r="AF21" s="180"/>
      <c r="AG21" s="180"/>
      <c r="AH21" s="181"/>
      <c r="AI21" s="180"/>
      <c r="AJ21" s="181"/>
      <c r="AK21" s="179"/>
      <c r="AL21" s="160"/>
      <c r="AM21" s="160"/>
      <c r="AN21" s="160"/>
      <c r="AO21" s="180"/>
      <c r="AP21" s="181"/>
      <c r="AQ21" s="182"/>
      <c r="AR21" s="180"/>
      <c r="AS21" s="181"/>
      <c r="AT21" s="102"/>
      <c r="AU21" s="146"/>
      <c r="AV21" s="146"/>
      <c r="AW21" s="146"/>
      <c r="AX21" s="146"/>
      <c r="AY21" s="147"/>
      <c r="AZ21" s="280"/>
      <c r="BA21" s="290"/>
      <c r="BB21" s="279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12.75">
      <c r="A22" s="96" t="s">
        <v>522</v>
      </c>
      <c r="B22" s="102" t="s">
        <v>525</v>
      </c>
      <c r="C22" s="150"/>
      <c r="D22" s="150"/>
      <c r="E22" s="150"/>
      <c r="F22" s="150"/>
      <c r="G22" s="150"/>
      <c r="H22" s="151"/>
      <c r="I22" s="280">
        <v>78970</v>
      </c>
      <c r="J22" s="144"/>
      <c r="K22" s="144" t="s">
        <v>292</v>
      </c>
      <c r="L22" s="377">
        <v>122848480</v>
      </c>
      <c r="M22" s="376">
        <v>136</v>
      </c>
      <c r="N22" s="376">
        <v>139</v>
      </c>
      <c r="O22" s="152">
        <v>20</v>
      </c>
      <c r="P22" s="375">
        <f>N22-M22</f>
        <v>3</v>
      </c>
      <c r="Q22" s="261"/>
      <c r="R22" s="155">
        <f>O22*P22+Q22</f>
        <v>60</v>
      </c>
      <c r="S22" s="157" t="s">
        <v>162</v>
      </c>
      <c r="T22" s="159" t="s">
        <v>128</v>
      </c>
      <c r="U22" s="160"/>
      <c r="V22" s="160"/>
      <c r="W22" s="163">
        <f t="shared" si="0"/>
        <v>426423</v>
      </c>
      <c r="X22" s="186">
        <f>ROUND(I39,0)</f>
        <v>426423</v>
      </c>
      <c r="Y22" s="168">
        <v>0</v>
      </c>
      <c r="Z22" s="168">
        <v>0</v>
      </c>
      <c r="AA22" s="168">
        <v>0</v>
      </c>
      <c r="AB22" s="179"/>
      <c r="AC22" s="160"/>
      <c r="AD22" s="160"/>
      <c r="AE22" s="160"/>
      <c r="AF22" s="180"/>
      <c r="AG22" s="181"/>
      <c r="AH22" s="181"/>
      <c r="AI22" s="180"/>
      <c r="AJ22" s="181"/>
      <c r="AK22" s="179"/>
      <c r="AL22" s="160"/>
      <c r="AM22" s="160"/>
      <c r="AN22" s="160"/>
      <c r="AO22" s="180"/>
      <c r="AP22" s="181"/>
      <c r="AQ22" s="182"/>
      <c r="AR22" s="180"/>
      <c r="AS22" s="181"/>
      <c r="AT22" s="255" t="s">
        <v>22</v>
      </c>
      <c r="AU22" s="256"/>
      <c r="AV22" s="256"/>
      <c r="AW22" s="256"/>
      <c r="AX22" s="146"/>
      <c r="AY22" s="147"/>
      <c r="AZ22" s="280"/>
      <c r="BA22" s="293"/>
      <c r="BB22" s="29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12.75">
      <c r="A23" s="102"/>
      <c r="B23" s="102"/>
      <c r="C23" s="371"/>
      <c r="D23" s="372"/>
      <c r="E23" s="372"/>
      <c r="F23" s="373"/>
      <c r="G23" s="374"/>
      <c r="H23" s="151"/>
      <c r="I23" s="280"/>
      <c r="J23" s="102"/>
      <c r="K23" s="245"/>
      <c r="L23" s="245"/>
      <c r="M23" s="245"/>
      <c r="N23" s="245"/>
      <c r="O23" s="245"/>
      <c r="P23" s="246" t="s">
        <v>274</v>
      </c>
      <c r="Q23" s="247"/>
      <c r="R23" s="155">
        <f>R19+R21+R22+R20</f>
        <v>243</v>
      </c>
      <c r="S23" s="157" t="s">
        <v>163</v>
      </c>
      <c r="T23" s="159" t="s">
        <v>129</v>
      </c>
      <c r="U23" s="160"/>
      <c r="V23" s="160"/>
      <c r="W23" s="163">
        <f t="shared" si="0"/>
        <v>549788</v>
      </c>
      <c r="X23" s="186">
        <v>0</v>
      </c>
      <c r="Y23" s="168">
        <v>0</v>
      </c>
      <c r="Z23" s="163">
        <f>I26+I25</f>
        <v>549788</v>
      </c>
      <c r="AA23" s="168">
        <v>0</v>
      </c>
      <c r="AB23" s="179"/>
      <c r="AC23" s="160"/>
      <c r="AD23" s="160"/>
      <c r="AE23" s="160"/>
      <c r="AF23" s="180"/>
      <c r="AG23" s="181"/>
      <c r="AH23" s="182"/>
      <c r="AI23" s="180"/>
      <c r="AJ23" s="181"/>
      <c r="AK23" s="179"/>
      <c r="AL23" s="160"/>
      <c r="AM23" s="160"/>
      <c r="AN23" s="160"/>
      <c r="AO23" s="180"/>
      <c r="AP23" s="181"/>
      <c r="AQ23" s="182"/>
      <c r="AR23" s="180"/>
      <c r="AS23" s="181"/>
      <c r="AT23" s="145" t="s">
        <v>23</v>
      </c>
      <c r="AU23" s="146"/>
      <c r="AV23" s="146"/>
      <c r="AW23" s="146"/>
      <c r="AX23" s="146"/>
      <c r="AY23" s="147"/>
      <c r="AZ23" s="280"/>
      <c r="BA23" s="293"/>
      <c r="BB23" s="279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12.75">
      <c r="A24" s="96" t="s">
        <v>219</v>
      </c>
      <c r="B24" s="103" t="s">
        <v>220</v>
      </c>
      <c r="C24" s="148"/>
      <c r="D24" s="148"/>
      <c r="E24" s="148"/>
      <c r="F24" s="148"/>
      <c r="G24" s="148"/>
      <c r="H24" s="148"/>
      <c r="I24" s="151"/>
      <c r="J24" s="145"/>
      <c r="K24" s="146"/>
      <c r="L24" s="146"/>
      <c r="M24" s="146"/>
      <c r="N24" s="146"/>
      <c r="O24" s="146"/>
      <c r="P24" s="248"/>
      <c r="Q24" s="249"/>
      <c r="R24" s="250"/>
      <c r="S24" s="157" t="s">
        <v>164</v>
      </c>
      <c r="T24" s="160" t="s">
        <v>130</v>
      </c>
      <c r="U24" s="160"/>
      <c r="V24" s="160"/>
      <c r="W24" s="163">
        <f t="shared" si="0"/>
        <v>35245</v>
      </c>
      <c r="X24" s="186">
        <v>0</v>
      </c>
      <c r="Y24" s="168">
        <v>0</v>
      </c>
      <c r="Z24" s="163">
        <f>I41</f>
        <v>35245</v>
      </c>
      <c r="AA24" s="168">
        <v>0</v>
      </c>
      <c r="AB24" s="153"/>
      <c r="AC24" s="120" t="s">
        <v>189</v>
      </c>
      <c r="AD24" s="120"/>
      <c r="AE24" s="120"/>
      <c r="AF24" s="154"/>
      <c r="AG24" s="154"/>
      <c r="AH24" s="154"/>
      <c r="AI24" s="154"/>
      <c r="AJ24" s="154"/>
      <c r="AK24" s="153"/>
      <c r="AL24" s="120" t="s">
        <v>278</v>
      </c>
      <c r="AM24" s="120"/>
      <c r="AN24" s="120"/>
      <c r="AO24" s="154"/>
      <c r="AP24" s="154"/>
      <c r="AQ24" s="154"/>
      <c r="AR24" s="154"/>
      <c r="AS24" s="154"/>
      <c r="AT24" s="262" t="s">
        <v>139</v>
      </c>
      <c r="AU24" s="245"/>
      <c r="AV24" s="245"/>
      <c r="AW24" s="245"/>
      <c r="AX24" s="245"/>
      <c r="AY24" s="263"/>
      <c r="AZ24" s="295"/>
      <c r="BA24" s="287"/>
      <c r="BB24" s="28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12.75">
      <c r="A25" s="143" t="s">
        <v>221</v>
      </c>
      <c r="B25" s="143" t="s">
        <v>224</v>
      </c>
      <c r="C25" s="197"/>
      <c r="D25" s="323"/>
      <c r="E25" s="323"/>
      <c r="F25" s="164"/>
      <c r="G25" s="324"/>
      <c r="H25" s="164"/>
      <c r="I25" s="164"/>
      <c r="J25" s="159" t="s">
        <v>275</v>
      </c>
      <c r="K25" s="160"/>
      <c r="L25" s="160"/>
      <c r="M25" s="160"/>
      <c r="N25" s="160"/>
      <c r="O25" s="160"/>
      <c r="P25" s="190"/>
      <c r="Q25" s="238"/>
      <c r="R25" s="251"/>
      <c r="S25" s="157" t="s">
        <v>165</v>
      </c>
      <c r="T25" s="160" t="s">
        <v>131</v>
      </c>
      <c r="U25" s="160"/>
      <c r="V25" s="160"/>
      <c r="W25" s="163">
        <f t="shared" si="0"/>
        <v>121117</v>
      </c>
      <c r="X25" s="186">
        <v>0</v>
      </c>
      <c r="Y25" s="168">
        <v>0</v>
      </c>
      <c r="Z25" s="163">
        <f>I43</f>
        <v>121117</v>
      </c>
      <c r="AA25" s="168">
        <v>0</v>
      </c>
      <c r="AB25" s="153"/>
      <c r="AC25" s="120" t="s">
        <v>533</v>
      </c>
      <c r="AD25" s="120"/>
      <c r="AE25" s="120"/>
      <c r="AF25" s="120"/>
      <c r="AG25" s="120"/>
      <c r="AH25" s="120"/>
      <c r="AI25" s="120"/>
      <c r="AJ25" s="120"/>
      <c r="AK25" s="153"/>
      <c r="AL25" s="120" t="s">
        <v>533</v>
      </c>
      <c r="AM25" s="120"/>
      <c r="AN25" s="120"/>
      <c r="AO25" s="120"/>
      <c r="AP25" s="120"/>
      <c r="AQ25" s="120"/>
      <c r="AR25" s="120"/>
      <c r="AS25" s="120"/>
      <c r="AT25" s="103" t="s">
        <v>183</v>
      </c>
      <c r="AU25" s="148"/>
      <c r="AV25" s="148"/>
      <c r="AW25" s="148"/>
      <c r="AX25" s="148"/>
      <c r="AY25" s="149"/>
      <c r="AZ25" s="296">
        <v>7.91</v>
      </c>
      <c r="BA25" s="297">
        <v>35268</v>
      </c>
      <c r="BB25" s="284">
        <f>AZ25*BA25</f>
        <v>278969.88</v>
      </c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12.75">
      <c r="A26" s="144"/>
      <c r="B26" s="144" t="s">
        <v>222</v>
      </c>
      <c r="C26" s="198">
        <v>109056121</v>
      </c>
      <c r="D26" s="323">
        <v>21222.1458</v>
      </c>
      <c r="E26" s="323">
        <v>21336.6849</v>
      </c>
      <c r="F26" s="164">
        <v>4800</v>
      </c>
      <c r="G26" s="324">
        <f aca="true" t="shared" si="1" ref="G26:G43">E26-D26</f>
        <v>114.53910000000178</v>
      </c>
      <c r="H26" s="164"/>
      <c r="I26" s="164">
        <f>ROUND(F26*G26+H26,0)</f>
        <v>549788</v>
      </c>
      <c r="J26" s="222" t="s">
        <v>548</v>
      </c>
      <c r="K26" s="223"/>
      <c r="L26" s="223"/>
      <c r="M26" s="191"/>
      <c r="N26" s="148"/>
      <c r="O26" s="148"/>
      <c r="P26" s="148"/>
      <c r="Q26" s="148"/>
      <c r="R26" s="209"/>
      <c r="S26" s="158" t="s">
        <v>166</v>
      </c>
      <c r="T26" s="148" t="s">
        <v>132</v>
      </c>
      <c r="U26" s="148"/>
      <c r="V26" s="148"/>
      <c r="W26" s="164">
        <f>SUM(X26:AA26)</f>
        <v>19090</v>
      </c>
      <c r="X26" s="187">
        <v>0</v>
      </c>
      <c r="Y26" s="169">
        <v>0</v>
      </c>
      <c r="Z26" s="164">
        <f>I45+I46</f>
        <v>19090</v>
      </c>
      <c r="AA26" s="169">
        <v>0</v>
      </c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02" t="s">
        <v>184</v>
      </c>
      <c r="AU26" s="150"/>
      <c r="AV26" s="150"/>
      <c r="AW26" s="150"/>
      <c r="AX26" s="160"/>
      <c r="AY26" s="161"/>
      <c r="AZ26" s="296">
        <f>(X14+AG14+AP14)/1000</f>
        <v>4946.422</v>
      </c>
      <c r="BA26" s="279">
        <v>17</v>
      </c>
      <c r="BB26" s="284">
        <f>AZ26*BA26</f>
        <v>84089.174</v>
      </c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12.75">
      <c r="A27" s="143" t="s">
        <v>223</v>
      </c>
      <c r="B27" s="143" t="s">
        <v>235</v>
      </c>
      <c r="C27" s="197">
        <v>623125232</v>
      </c>
      <c r="D27" s="325">
        <v>9240.7087</v>
      </c>
      <c r="E27" s="325">
        <v>9240.7087</v>
      </c>
      <c r="F27" s="175">
        <v>1800</v>
      </c>
      <c r="G27" s="326">
        <f t="shared" si="1"/>
        <v>0</v>
      </c>
      <c r="H27" s="171"/>
      <c r="I27" s="175">
        <f>ROUND(G27*F27,0)</f>
        <v>0</v>
      </c>
      <c r="J27" s="120"/>
      <c r="K27" s="160"/>
      <c r="L27" s="160"/>
      <c r="M27" s="160"/>
      <c r="N27" s="160"/>
      <c r="O27" s="160"/>
      <c r="P27" s="190"/>
      <c r="Q27" s="238"/>
      <c r="R27" s="237"/>
      <c r="S27" s="179"/>
      <c r="T27" s="160"/>
      <c r="U27" s="160"/>
      <c r="V27" s="160"/>
      <c r="W27" s="180"/>
      <c r="X27" s="180"/>
      <c r="Y27" s="181"/>
      <c r="Z27" s="180"/>
      <c r="AA27" s="181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03" t="s">
        <v>185</v>
      </c>
      <c r="AU27" s="148"/>
      <c r="AV27" s="148"/>
      <c r="AW27" s="148"/>
      <c r="AX27" s="146"/>
      <c r="AY27" s="147"/>
      <c r="AZ27" s="296">
        <v>2.26</v>
      </c>
      <c r="BA27" s="279">
        <v>35268</v>
      </c>
      <c r="BB27" s="279">
        <f>AZ27*BA27</f>
        <v>79705.68</v>
      </c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12.75">
      <c r="A28" s="144"/>
      <c r="B28" s="144" t="s">
        <v>222</v>
      </c>
      <c r="C28" s="169"/>
      <c r="D28" s="228"/>
      <c r="E28" s="228"/>
      <c r="F28" s="164"/>
      <c r="G28" s="227"/>
      <c r="H28" s="169"/>
      <c r="I28" s="164"/>
      <c r="J28" s="160" t="s">
        <v>279</v>
      </c>
      <c r="K28" s="160"/>
      <c r="L28" s="264"/>
      <c r="M28" s="181"/>
      <c r="N28" s="265"/>
      <c r="O28" s="265"/>
      <c r="P28" s="188"/>
      <c r="Q28" s="160"/>
      <c r="R28" s="190"/>
      <c r="S28" s="120"/>
      <c r="T28" s="120"/>
      <c r="U28" s="120"/>
      <c r="V28" s="120"/>
      <c r="W28" s="120"/>
      <c r="X28" s="120"/>
      <c r="Y28" s="120"/>
      <c r="Z28" s="120"/>
      <c r="AA28" s="120"/>
      <c r="AB28" s="120" t="s">
        <v>447</v>
      </c>
      <c r="AC28" s="120"/>
      <c r="AD28" s="120"/>
      <c r="AE28" s="120"/>
      <c r="AF28" s="120"/>
      <c r="AG28" s="120" t="s">
        <v>450</v>
      </c>
      <c r="AH28" s="120"/>
      <c r="AI28" s="120" t="s">
        <v>451</v>
      </c>
      <c r="AJ28" s="120"/>
      <c r="AK28" s="120" t="s">
        <v>447</v>
      </c>
      <c r="AL28" s="120"/>
      <c r="AM28" s="120"/>
      <c r="AN28" s="120"/>
      <c r="AO28" s="120"/>
      <c r="AP28" s="120" t="s">
        <v>151</v>
      </c>
      <c r="AQ28" s="120"/>
      <c r="AR28" s="120" t="s">
        <v>152</v>
      </c>
      <c r="AS28" s="120"/>
      <c r="AT28" s="159" t="s">
        <v>186</v>
      </c>
      <c r="AU28" s="160"/>
      <c r="AV28" s="160"/>
      <c r="AW28" s="160"/>
      <c r="AX28" s="146"/>
      <c r="AY28" s="147"/>
      <c r="AZ28" s="296">
        <f>(Z14+AI14+AR14)/1000</f>
        <v>796.285</v>
      </c>
      <c r="BA28" s="279">
        <v>17</v>
      </c>
      <c r="BB28" s="284">
        <f>AZ28*BA28</f>
        <v>13536.845</v>
      </c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12.75">
      <c r="A29" s="143" t="s">
        <v>225</v>
      </c>
      <c r="B29" s="143" t="s">
        <v>236</v>
      </c>
      <c r="C29" s="197">
        <v>623125667</v>
      </c>
      <c r="D29" s="325">
        <v>10539.1223</v>
      </c>
      <c r="E29" s="325">
        <v>10745.1681</v>
      </c>
      <c r="F29" s="175">
        <v>1800</v>
      </c>
      <c r="G29" s="326">
        <f t="shared" si="1"/>
        <v>206.04579999999987</v>
      </c>
      <c r="H29" s="171"/>
      <c r="I29" s="175">
        <f>ROUND(G29*F29,0)</f>
        <v>370882</v>
      </c>
      <c r="J29" s="160"/>
      <c r="K29" s="160"/>
      <c r="L29" s="181"/>
      <c r="M29" s="181"/>
      <c r="N29" s="188"/>
      <c r="O29" s="188"/>
      <c r="P29" s="188"/>
      <c r="Q29" s="160"/>
      <c r="R29" s="190"/>
      <c r="S29" s="120"/>
      <c r="T29" s="120"/>
      <c r="U29" s="120"/>
      <c r="V29" s="120"/>
      <c r="W29" s="120"/>
      <c r="X29" s="120"/>
      <c r="Y29" s="120"/>
      <c r="Z29" s="120"/>
      <c r="AA29" s="120"/>
      <c r="AB29" s="120" t="s">
        <v>527</v>
      </c>
      <c r="AC29" s="120"/>
      <c r="AD29" s="120"/>
      <c r="AE29" s="120"/>
      <c r="AF29" s="120"/>
      <c r="AG29" s="120" t="s">
        <v>150</v>
      </c>
      <c r="AH29" s="120"/>
      <c r="AI29" s="120"/>
      <c r="AJ29" s="120"/>
      <c r="AK29" s="120" t="s">
        <v>527</v>
      </c>
      <c r="AL29" s="120"/>
      <c r="AM29" s="120"/>
      <c r="AN29" s="120"/>
      <c r="AO29" s="120"/>
      <c r="AP29" s="120" t="s">
        <v>150</v>
      </c>
      <c r="AQ29" s="120"/>
      <c r="AR29" s="120"/>
      <c r="AS29" s="120"/>
      <c r="AT29" s="145"/>
      <c r="AU29" s="146"/>
      <c r="AV29" s="146"/>
      <c r="AW29" s="146"/>
      <c r="AX29" s="146"/>
      <c r="AY29" s="147"/>
      <c r="AZ29" s="280"/>
      <c r="BA29" s="287"/>
      <c r="BB29" s="28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12.75">
      <c r="A30" s="144"/>
      <c r="B30" s="144" t="s">
        <v>222</v>
      </c>
      <c r="C30" s="169"/>
      <c r="D30" s="228"/>
      <c r="E30" s="228"/>
      <c r="F30" s="164"/>
      <c r="G30" s="227"/>
      <c r="H30" s="169"/>
      <c r="I30" s="164"/>
      <c r="J30" s="160"/>
      <c r="K30" s="160"/>
      <c r="L30" s="181"/>
      <c r="M30" s="181"/>
      <c r="N30" s="188"/>
      <c r="O30" s="188"/>
      <c r="P30" s="188"/>
      <c r="Q30" s="160"/>
      <c r="R30" s="19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45"/>
      <c r="AU30" s="146"/>
      <c r="AV30" s="146"/>
      <c r="AW30" s="146"/>
      <c r="AX30" s="146"/>
      <c r="AY30" s="147"/>
      <c r="AZ30" s="280"/>
      <c r="BA30" s="287"/>
      <c r="BB30" s="28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12.75">
      <c r="A31" s="143" t="s">
        <v>226</v>
      </c>
      <c r="B31" s="143" t="s">
        <v>237</v>
      </c>
      <c r="C31" s="197">
        <v>623126370</v>
      </c>
      <c r="D31" s="325">
        <v>2842.957</v>
      </c>
      <c r="E31" s="325">
        <v>2895.7805</v>
      </c>
      <c r="F31" s="175">
        <v>4800</v>
      </c>
      <c r="G31" s="326">
        <f t="shared" si="1"/>
        <v>52.82349999999997</v>
      </c>
      <c r="H31" s="171"/>
      <c r="I31" s="175">
        <f>ROUND(G31*F31,0)</f>
        <v>253553</v>
      </c>
      <c r="J31" s="160"/>
      <c r="K31" s="160"/>
      <c r="L31" s="264"/>
      <c r="M31" s="181"/>
      <c r="N31" s="265" t="s">
        <v>280</v>
      </c>
      <c r="O31" s="265"/>
      <c r="P31" s="188"/>
      <c r="Q31" s="160"/>
      <c r="R31" s="190"/>
      <c r="S31" s="120" t="s">
        <v>447</v>
      </c>
      <c r="T31" s="120"/>
      <c r="U31" s="120"/>
      <c r="V31" s="120"/>
      <c r="W31" s="120"/>
      <c r="X31" s="120" t="s">
        <v>450</v>
      </c>
      <c r="Y31" s="120"/>
      <c r="Z31" s="120" t="s">
        <v>451</v>
      </c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45"/>
      <c r="AU31" s="146"/>
      <c r="AV31" s="146"/>
      <c r="AW31" s="146"/>
      <c r="AX31" s="146"/>
      <c r="AY31" s="147"/>
      <c r="AZ31" s="280"/>
      <c r="BA31" s="287"/>
      <c r="BB31" s="28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12.75">
      <c r="A32" s="144"/>
      <c r="B32" s="144" t="s">
        <v>222</v>
      </c>
      <c r="C32" s="169"/>
      <c r="D32" s="228"/>
      <c r="E32" s="228"/>
      <c r="F32" s="164"/>
      <c r="G32" s="227"/>
      <c r="H32" s="169"/>
      <c r="I32" s="164"/>
      <c r="J32" s="160"/>
      <c r="K32" s="160"/>
      <c r="L32" s="181"/>
      <c r="M32" s="181"/>
      <c r="N32" s="265" t="s">
        <v>529</v>
      </c>
      <c r="O32" s="265"/>
      <c r="P32" s="188"/>
      <c r="Q32" s="160"/>
      <c r="R32" s="190"/>
      <c r="S32" s="120" t="s">
        <v>527</v>
      </c>
      <c r="T32" s="120"/>
      <c r="U32" s="120"/>
      <c r="V32" s="120"/>
      <c r="W32" s="120"/>
      <c r="X32" s="120" t="s">
        <v>150</v>
      </c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45" t="s">
        <v>432</v>
      </c>
      <c r="AU32" s="146"/>
      <c r="AV32" s="146"/>
      <c r="AW32" s="146"/>
      <c r="AX32" s="146"/>
      <c r="AY32" s="147"/>
      <c r="AZ32" s="280"/>
      <c r="BA32" s="298"/>
      <c r="BB32" s="279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12.75">
      <c r="A33" s="143" t="s">
        <v>227</v>
      </c>
      <c r="B33" s="143" t="s">
        <v>238</v>
      </c>
      <c r="C33" s="197">
        <v>623125137</v>
      </c>
      <c r="D33" s="325">
        <v>2202.7089</v>
      </c>
      <c r="E33" s="325">
        <v>2202.709</v>
      </c>
      <c r="F33" s="175">
        <v>4800</v>
      </c>
      <c r="G33" s="326">
        <f t="shared" si="1"/>
        <v>9.999999974752427E-05</v>
      </c>
      <c r="H33" s="171"/>
      <c r="I33" s="175">
        <f>ROUND(G33*F33,0)</f>
        <v>0</v>
      </c>
      <c r="J33" s="160"/>
      <c r="K33" s="160"/>
      <c r="L33" s="264"/>
      <c r="M33" s="181"/>
      <c r="N33" s="265" t="s">
        <v>563</v>
      </c>
      <c r="O33" s="265"/>
      <c r="P33" s="188"/>
      <c r="Q33" s="160"/>
      <c r="R33" s="190"/>
      <c r="S33" s="120"/>
      <c r="T33" s="120"/>
      <c r="U33" s="120"/>
      <c r="V33" s="120"/>
      <c r="W33" s="120"/>
      <c r="X33" s="120"/>
      <c r="Y33" s="120"/>
      <c r="Z33" s="120"/>
      <c r="AA33" s="120"/>
      <c r="AB33" s="120" t="s">
        <v>149</v>
      </c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45" t="s">
        <v>430</v>
      </c>
      <c r="AU33" s="146"/>
      <c r="AV33" s="146"/>
      <c r="AW33" s="146"/>
      <c r="AX33" s="146"/>
      <c r="AY33" s="147"/>
      <c r="AZ33" s="280"/>
      <c r="BA33" s="287"/>
      <c r="BB33" s="279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12.75">
      <c r="A34" s="144"/>
      <c r="B34" s="144" t="s">
        <v>222</v>
      </c>
      <c r="C34" s="169"/>
      <c r="D34" s="228"/>
      <c r="E34" s="228"/>
      <c r="F34" s="164"/>
      <c r="G34" s="227"/>
      <c r="H34" s="169"/>
      <c r="I34" s="164"/>
      <c r="J34" s="160"/>
      <c r="K34" s="160"/>
      <c r="L34" s="181"/>
      <c r="M34" s="181"/>
      <c r="N34" s="265"/>
      <c r="O34" s="265"/>
      <c r="P34" s="188"/>
      <c r="Q34" s="160"/>
      <c r="R34" s="190"/>
      <c r="S34" s="120"/>
      <c r="T34" s="120"/>
      <c r="U34" s="120"/>
      <c r="V34" s="120"/>
      <c r="W34" s="120"/>
      <c r="X34" s="120"/>
      <c r="Y34" s="120"/>
      <c r="Z34" s="120"/>
      <c r="AA34" s="120"/>
      <c r="AB34" s="120" t="s">
        <v>18</v>
      </c>
      <c r="AC34" s="120"/>
      <c r="AD34" s="120"/>
      <c r="AE34" s="120"/>
      <c r="AF34" s="120"/>
      <c r="AG34" s="120"/>
      <c r="AH34" s="120"/>
      <c r="AI34" s="120"/>
      <c r="AJ34" s="120"/>
      <c r="AK34" s="120" t="s">
        <v>149</v>
      </c>
      <c r="AL34" s="120"/>
      <c r="AM34" s="120"/>
      <c r="AN34" s="120"/>
      <c r="AO34" s="120"/>
      <c r="AP34" s="120"/>
      <c r="AQ34" s="120"/>
      <c r="AR34" s="120"/>
      <c r="AS34" s="120"/>
      <c r="AT34" s="145" t="s">
        <v>437</v>
      </c>
      <c r="AU34" s="146"/>
      <c r="AV34" s="146"/>
      <c r="AW34" s="146"/>
      <c r="AX34" s="146"/>
      <c r="AY34" s="147"/>
      <c r="AZ34" s="280"/>
      <c r="BA34" s="293"/>
      <c r="BB34" s="279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12.75">
      <c r="A35" s="143" t="s">
        <v>228</v>
      </c>
      <c r="B35" s="143" t="s">
        <v>239</v>
      </c>
      <c r="C35" s="197">
        <v>623125142</v>
      </c>
      <c r="D35" s="325">
        <v>14066.657</v>
      </c>
      <c r="E35" s="325">
        <v>14246.7589</v>
      </c>
      <c r="F35" s="175">
        <v>2400</v>
      </c>
      <c r="G35" s="326">
        <f t="shared" si="1"/>
        <v>180.10190000000148</v>
      </c>
      <c r="H35" s="171"/>
      <c r="I35" s="175">
        <f>ROUND(G35*F35,0)</f>
        <v>432245</v>
      </c>
      <c r="J35" s="160"/>
      <c r="K35" s="160"/>
      <c r="L35" s="264"/>
      <c r="M35" s="181"/>
      <c r="N35" s="266" t="s">
        <v>283</v>
      </c>
      <c r="O35" s="266"/>
      <c r="P35" s="188"/>
      <c r="Q35" s="160"/>
      <c r="R35" s="190"/>
      <c r="S35" s="120"/>
      <c r="T35" s="120"/>
      <c r="U35" s="120"/>
      <c r="V35" s="120"/>
      <c r="W35" s="120"/>
      <c r="X35" s="120"/>
      <c r="Y35" s="120"/>
      <c r="Z35" s="120"/>
      <c r="AA35" s="120"/>
      <c r="AB35" s="120" t="s">
        <v>167</v>
      </c>
      <c r="AC35" s="120"/>
      <c r="AD35" s="120"/>
      <c r="AE35" s="120"/>
      <c r="AF35" s="120"/>
      <c r="AG35" s="120" t="s">
        <v>134</v>
      </c>
      <c r="AH35" s="120"/>
      <c r="AI35" s="120" t="s">
        <v>133</v>
      </c>
      <c r="AJ35" s="120"/>
      <c r="AK35" s="120" t="s">
        <v>462</v>
      </c>
      <c r="AL35" s="120"/>
      <c r="AM35" s="120"/>
      <c r="AN35" s="120"/>
      <c r="AO35" s="120"/>
      <c r="AP35" s="120"/>
      <c r="AQ35" s="120" t="s">
        <v>463</v>
      </c>
      <c r="AR35" s="120"/>
      <c r="AS35" s="120"/>
      <c r="AT35" s="145" t="s">
        <v>430</v>
      </c>
      <c r="AU35" s="146"/>
      <c r="AV35" s="146"/>
      <c r="AW35" s="146"/>
      <c r="AX35" s="146"/>
      <c r="AY35" s="147"/>
      <c r="AZ35" s="280"/>
      <c r="BA35" s="293"/>
      <c r="BB35" s="279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6" spans="1:98" ht="12.75">
      <c r="A36" s="144"/>
      <c r="B36" s="144" t="s">
        <v>222</v>
      </c>
      <c r="C36" s="169"/>
      <c r="D36" s="228"/>
      <c r="E36" s="228"/>
      <c r="F36" s="164"/>
      <c r="G36" s="227"/>
      <c r="H36" s="169"/>
      <c r="I36" s="164"/>
      <c r="J36" s="160"/>
      <c r="K36" s="239"/>
      <c r="L36" s="181"/>
      <c r="M36" s="181"/>
      <c r="N36" s="267" t="s">
        <v>281</v>
      </c>
      <c r="O36" s="188"/>
      <c r="P36" s="188"/>
      <c r="Q36" s="160"/>
      <c r="R36" s="190"/>
      <c r="S36" s="120"/>
      <c r="T36" s="120"/>
      <c r="U36" s="120"/>
      <c r="V36" s="120"/>
      <c r="W36" s="120"/>
      <c r="X36" s="120"/>
      <c r="Y36" s="120"/>
      <c r="Z36" s="120"/>
      <c r="AA36" s="120"/>
      <c r="AB36" s="120" t="s">
        <v>188</v>
      </c>
      <c r="AC36" s="120"/>
      <c r="AD36" s="120"/>
      <c r="AE36" s="120"/>
      <c r="AF36" s="120"/>
      <c r="AG36" s="120" t="s">
        <v>150</v>
      </c>
      <c r="AH36" s="120"/>
      <c r="AI36" s="120"/>
      <c r="AJ36" s="120"/>
      <c r="AK36" s="120"/>
      <c r="AL36" s="120"/>
      <c r="AM36" s="120"/>
      <c r="AN36" s="120"/>
      <c r="AO36" s="120"/>
      <c r="AP36" s="120"/>
      <c r="AQ36" s="120" t="s">
        <v>150</v>
      </c>
      <c r="AR36" s="120"/>
      <c r="AS36" s="120"/>
      <c r="AT36" s="145" t="s">
        <v>430</v>
      </c>
      <c r="AU36" s="146"/>
      <c r="AV36" s="146"/>
      <c r="AW36" s="146"/>
      <c r="AX36" s="146"/>
      <c r="AY36" s="147"/>
      <c r="AZ36" s="280"/>
      <c r="BA36" s="293"/>
      <c r="BB36" s="279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</row>
    <row r="37" spans="1:98" ht="12.75">
      <c r="A37" s="143" t="s">
        <v>229</v>
      </c>
      <c r="B37" s="143" t="s">
        <v>240</v>
      </c>
      <c r="C37" s="197">
        <v>623125205</v>
      </c>
      <c r="D37" s="325">
        <v>5098.2444</v>
      </c>
      <c r="E37" s="325">
        <v>5190.4257</v>
      </c>
      <c r="F37" s="175">
        <v>1800</v>
      </c>
      <c r="G37" s="326">
        <f t="shared" si="1"/>
        <v>92.18130000000019</v>
      </c>
      <c r="H37" s="171"/>
      <c r="I37" s="175">
        <f>ROUND(G37*F37,0)</f>
        <v>165926</v>
      </c>
      <c r="J37" s="120"/>
      <c r="K37" s="160"/>
      <c r="L37" s="160"/>
      <c r="M37" s="160"/>
      <c r="N37" s="160"/>
      <c r="O37" s="160"/>
      <c r="P37" s="190"/>
      <c r="Q37" s="236"/>
      <c r="R37" s="237"/>
      <c r="S37" s="120" t="s">
        <v>160</v>
      </c>
      <c r="T37" s="120"/>
      <c r="U37" s="120"/>
      <c r="V37" s="120"/>
      <c r="W37" s="120"/>
      <c r="X37" s="120" t="s">
        <v>450</v>
      </c>
      <c r="Y37" s="120"/>
      <c r="Z37" s="120" t="s">
        <v>137</v>
      </c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46" t="s">
        <v>323</v>
      </c>
      <c r="AU37" s="146"/>
      <c r="AV37" s="146"/>
      <c r="AW37" s="146"/>
      <c r="AX37" s="146"/>
      <c r="AY37" s="147"/>
      <c r="AZ37" s="280"/>
      <c r="BA37" s="287"/>
      <c r="BB37" s="279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</row>
    <row r="38" spans="1:98" ht="12.75">
      <c r="A38" s="144"/>
      <c r="B38" s="144" t="s">
        <v>222</v>
      </c>
      <c r="C38" s="169"/>
      <c r="D38" s="228"/>
      <c r="E38" s="228"/>
      <c r="F38" s="164"/>
      <c r="G38" s="227"/>
      <c r="H38" s="169"/>
      <c r="I38" s="164"/>
      <c r="J38" s="120"/>
      <c r="K38" s="160"/>
      <c r="L38" s="160"/>
      <c r="M38" s="160"/>
      <c r="N38" s="160"/>
      <c r="O38" s="160"/>
      <c r="P38" s="190"/>
      <c r="Q38" s="236"/>
      <c r="R38" s="237"/>
      <c r="S38" s="120"/>
      <c r="T38" s="120"/>
      <c r="U38" s="120"/>
      <c r="V38" s="120"/>
      <c r="W38" s="120"/>
      <c r="X38" s="120" t="s">
        <v>150</v>
      </c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45" t="s">
        <v>430</v>
      </c>
      <c r="AU38" s="146"/>
      <c r="AV38" s="146" t="s">
        <v>96</v>
      </c>
      <c r="AW38" s="146"/>
      <c r="AX38" s="146"/>
      <c r="AY38" s="147"/>
      <c r="AZ38" s="280"/>
      <c r="BA38" s="293"/>
      <c r="BB38" s="279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</row>
    <row r="39" spans="1:98" ht="12.75" customHeight="1">
      <c r="A39" s="143" t="s">
        <v>230</v>
      </c>
      <c r="B39" s="143" t="s">
        <v>241</v>
      </c>
      <c r="C39" s="197">
        <v>623123704</v>
      </c>
      <c r="D39" s="325">
        <v>8090.036</v>
      </c>
      <c r="E39" s="325">
        <v>8326.9374</v>
      </c>
      <c r="F39" s="175">
        <v>1800</v>
      </c>
      <c r="G39" s="326">
        <f t="shared" si="1"/>
        <v>236.90140000000065</v>
      </c>
      <c r="H39" s="171"/>
      <c r="I39" s="175">
        <f>ROUND(G39*F39,0)</f>
        <v>426423</v>
      </c>
      <c r="J39" s="120"/>
      <c r="K39" s="160"/>
      <c r="L39" s="160"/>
      <c r="M39" s="160"/>
      <c r="N39" s="160"/>
      <c r="O39" s="160"/>
      <c r="P39" s="190"/>
      <c r="Q39" s="236"/>
      <c r="R39" s="237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45" t="s">
        <v>431</v>
      </c>
      <c r="AU39" s="146"/>
      <c r="AV39" s="146" t="s">
        <v>416</v>
      </c>
      <c r="AW39" s="146"/>
      <c r="AX39" s="146"/>
      <c r="AY39" s="147"/>
      <c r="AZ39" s="280"/>
      <c r="BA39" s="293"/>
      <c r="BB39" s="279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</row>
    <row r="40" spans="1:98" ht="12.75" customHeight="1">
      <c r="A40" s="144"/>
      <c r="B40" s="144" t="s">
        <v>222</v>
      </c>
      <c r="C40" s="169"/>
      <c r="D40" s="228"/>
      <c r="E40" s="228"/>
      <c r="F40" s="164"/>
      <c r="G40" s="227"/>
      <c r="H40" s="169"/>
      <c r="I40" s="164"/>
      <c r="J40" s="120"/>
      <c r="K40" s="160"/>
      <c r="L40" s="160"/>
      <c r="M40" s="160"/>
      <c r="N40" s="160"/>
      <c r="O40" s="160"/>
      <c r="P40" s="190"/>
      <c r="Q40" s="236"/>
      <c r="R40" s="237"/>
      <c r="S40" s="239"/>
      <c r="T40" s="268"/>
      <c r="U40" s="160"/>
      <c r="V40" s="160"/>
      <c r="W40" s="188"/>
      <c r="X40" s="188"/>
      <c r="Y40" s="269"/>
      <c r="Z40" s="160"/>
      <c r="AA40" s="19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45"/>
      <c r="AU40" s="146"/>
      <c r="AV40" s="146"/>
      <c r="AW40" s="146"/>
      <c r="AX40" s="146"/>
      <c r="AY40" s="147"/>
      <c r="AZ40" s="280"/>
      <c r="BA40" s="293"/>
      <c r="BB40" s="279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</row>
    <row r="41" spans="1:98" ht="12.75" customHeight="1">
      <c r="A41" s="143" t="s">
        <v>231</v>
      </c>
      <c r="B41" s="143" t="s">
        <v>242</v>
      </c>
      <c r="C41" s="197">
        <v>623125794</v>
      </c>
      <c r="D41" s="325">
        <v>130.0983</v>
      </c>
      <c r="E41" s="325">
        <v>149.6787</v>
      </c>
      <c r="F41" s="175">
        <v>1800</v>
      </c>
      <c r="G41" s="326">
        <f t="shared" si="1"/>
        <v>19.580399999999997</v>
      </c>
      <c r="H41" s="171"/>
      <c r="I41" s="175">
        <f>ROUND(G41*F41,0)</f>
        <v>35245</v>
      </c>
      <c r="J41" s="120"/>
      <c r="K41" s="160"/>
      <c r="L41" s="160"/>
      <c r="M41" s="160"/>
      <c r="N41" s="160"/>
      <c r="O41" s="160"/>
      <c r="P41" s="190"/>
      <c r="Q41" s="236"/>
      <c r="R41" s="237"/>
      <c r="S41" s="239"/>
      <c r="T41" s="268"/>
      <c r="U41" s="160"/>
      <c r="V41" s="160"/>
      <c r="W41" s="188"/>
      <c r="X41" s="188"/>
      <c r="Y41" s="269"/>
      <c r="Z41" s="160"/>
      <c r="AA41" s="19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45"/>
      <c r="AU41" s="146"/>
      <c r="AV41" s="146"/>
      <c r="AW41" s="146"/>
      <c r="AX41" s="146"/>
      <c r="AY41" s="147"/>
      <c r="AZ41" s="280"/>
      <c r="BA41" s="293"/>
      <c r="BB41" s="279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</row>
    <row r="42" spans="1:98" ht="12.75" customHeight="1">
      <c r="A42" s="144"/>
      <c r="B42" s="144" t="s">
        <v>222</v>
      </c>
      <c r="C42" s="169"/>
      <c r="D42" s="228"/>
      <c r="E42" s="228"/>
      <c r="F42" s="164"/>
      <c r="G42" s="227"/>
      <c r="H42" s="169"/>
      <c r="I42" s="164"/>
      <c r="J42" s="120"/>
      <c r="K42" s="160"/>
      <c r="L42" s="160"/>
      <c r="M42" s="160"/>
      <c r="N42" s="160"/>
      <c r="O42" s="160"/>
      <c r="P42" s="190"/>
      <c r="Q42" s="236"/>
      <c r="R42" s="237"/>
      <c r="S42" s="268"/>
      <c r="T42" s="239"/>
      <c r="U42" s="160"/>
      <c r="V42" s="160"/>
      <c r="W42" s="160"/>
      <c r="X42" s="160"/>
      <c r="Y42" s="160"/>
      <c r="Z42" s="160"/>
      <c r="AA42" s="19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45"/>
      <c r="AU42" s="146"/>
      <c r="AV42" s="146"/>
      <c r="AW42" s="146"/>
      <c r="AX42" s="146"/>
      <c r="AY42" s="147"/>
      <c r="AZ42" s="280"/>
      <c r="BA42" s="287"/>
      <c r="BB42" s="279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</row>
    <row r="43" spans="1:98" ht="12.75">
      <c r="A43" s="143" t="s">
        <v>232</v>
      </c>
      <c r="B43" s="143" t="s">
        <v>243</v>
      </c>
      <c r="C43" s="197">
        <v>623125736</v>
      </c>
      <c r="D43" s="325">
        <v>4352.0189</v>
      </c>
      <c r="E43" s="325">
        <v>4452.9495</v>
      </c>
      <c r="F43" s="175">
        <v>1200</v>
      </c>
      <c r="G43" s="326">
        <f t="shared" si="1"/>
        <v>100.93059999999969</v>
      </c>
      <c r="H43" s="171"/>
      <c r="I43" s="175">
        <f>ROUND(G43*F43,0)</f>
        <v>121117</v>
      </c>
      <c r="J43" s="120"/>
      <c r="K43" s="160"/>
      <c r="L43" s="160"/>
      <c r="M43" s="160"/>
      <c r="N43" s="160"/>
      <c r="O43" s="160"/>
      <c r="P43" s="190"/>
      <c r="Q43" s="236"/>
      <c r="R43" s="237"/>
      <c r="S43" s="239"/>
      <c r="T43" s="268"/>
      <c r="U43" s="160"/>
      <c r="V43" s="160"/>
      <c r="W43" s="188"/>
      <c r="X43" s="188"/>
      <c r="Y43" s="269"/>
      <c r="Z43" s="160"/>
      <c r="AA43" s="19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45" t="s">
        <v>323</v>
      </c>
      <c r="AU43" s="146"/>
      <c r="AV43" s="146"/>
      <c r="AW43" s="146"/>
      <c r="AX43" s="146"/>
      <c r="AY43" s="147"/>
      <c r="AZ43" s="280"/>
      <c r="BA43" s="293"/>
      <c r="BB43" s="279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</row>
    <row r="44" spans="1:98" ht="12.75">
      <c r="A44" s="144"/>
      <c r="B44" s="144" t="s">
        <v>222</v>
      </c>
      <c r="C44" s="168"/>
      <c r="D44" s="228"/>
      <c r="E44" s="228"/>
      <c r="F44" s="164"/>
      <c r="G44" s="227"/>
      <c r="H44" s="169"/>
      <c r="I44" s="164"/>
      <c r="J44" s="160"/>
      <c r="K44" s="160"/>
      <c r="L44" s="160"/>
      <c r="M44" s="160"/>
      <c r="N44" s="160"/>
      <c r="O44" s="160"/>
      <c r="P44" s="190"/>
      <c r="Q44" s="236"/>
      <c r="R44" s="237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45"/>
      <c r="AU44" s="146"/>
      <c r="AV44" s="146"/>
      <c r="AW44" s="146"/>
      <c r="AX44" s="146"/>
      <c r="AY44" s="147"/>
      <c r="AZ44" s="280"/>
      <c r="BA44" s="287"/>
      <c r="BB44" s="279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</row>
    <row r="45" spans="1:98" ht="12.75">
      <c r="A45" s="143" t="s">
        <v>233</v>
      </c>
      <c r="B45" s="145" t="s">
        <v>234</v>
      </c>
      <c r="C45" s="197">
        <v>1110171156</v>
      </c>
      <c r="D45" s="325">
        <v>12839.54</v>
      </c>
      <c r="E45" s="325">
        <v>13316.7792</v>
      </c>
      <c r="F45" s="175">
        <v>40</v>
      </c>
      <c r="G45" s="326">
        <f>E45-D45</f>
        <v>477.2392</v>
      </c>
      <c r="H45" s="171"/>
      <c r="I45" s="175">
        <f>ROUND(G45*F45,0)</f>
        <v>19090</v>
      </c>
      <c r="J45" s="160"/>
      <c r="K45" s="160"/>
      <c r="L45" s="160"/>
      <c r="M45" s="160"/>
      <c r="N45" s="160"/>
      <c r="O45" s="160"/>
      <c r="P45" s="190"/>
      <c r="Q45" s="238"/>
      <c r="R45" s="237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45" t="s">
        <v>3</v>
      </c>
      <c r="AU45" s="146"/>
      <c r="AV45" s="146"/>
      <c r="AW45" s="146"/>
      <c r="AX45" s="146"/>
      <c r="AY45" s="147"/>
      <c r="AZ45" s="280"/>
      <c r="BA45" s="287"/>
      <c r="BB45" s="279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</row>
    <row r="46" spans="1:98" ht="12.75">
      <c r="A46" s="144"/>
      <c r="B46" s="103" t="s">
        <v>222</v>
      </c>
      <c r="C46" s="198"/>
      <c r="D46" s="378"/>
      <c r="E46" s="325"/>
      <c r="F46" s="175"/>
      <c r="G46" s="326"/>
      <c r="H46" s="171"/>
      <c r="I46" s="175"/>
      <c r="J46" s="160"/>
      <c r="K46" s="160"/>
      <c r="L46" s="160"/>
      <c r="M46" s="160"/>
      <c r="N46" s="160"/>
      <c r="O46" s="160"/>
      <c r="P46" s="190"/>
      <c r="Q46" s="236"/>
      <c r="R46" s="237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45"/>
      <c r="AU46" s="146"/>
      <c r="AV46" s="146" t="s">
        <v>330</v>
      </c>
      <c r="AW46" s="146"/>
      <c r="AX46" s="146"/>
      <c r="AY46" s="147"/>
      <c r="AZ46" s="280"/>
      <c r="BA46" s="298"/>
      <c r="BB46" s="279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</row>
    <row r="47" spans="1:98" ht="12.75">
      <c r="A47" s="201"/>
      <c r="B47" s="150"/>
      <c r="C47" s="191"/>
      <c r="D47" s="199"/>
      <c r="E47" s="200"/>
      <c r="F47" s="200"/>
      <c r="G47" s="215" t="s">
        <v>244</v>
      </c>
      <c r="H47" s="151"/>
      <c r="I47" s="235">
        <f>ROUND((SUM(I25:I46)+I20),0)</f>
        <v>5513582</v>
      </c>
      <c r="J47" s="160"/>
      <c r="K47" s="160"/>
      <c r="L47" s="160"/>
      <c r="M47" s="160"/>
      <c r="N47" s="160"/>
      <c r="O47" s="160"/>
      <c r="P47" s="190"/>
      <c r="Q47" s="238"/>
      <c r="R47" s="237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45"/>
      <c r="AU47" s="146"/>
      <c r="AV47" s="146"/>
      <c r="AW47" s="146"/>
      <c r="AX47" s="146"/>
      <c r="AY47" s="147"/>
      <c r="AZ47" s="280"/>
      <c r="BA47" s="287"/>
      <c r="BB47" s="279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</row>
    <row r="48" spans="1:98" ht="12.75">
      <c r="A48" s="143" t="s">
        <v>247</v>
      </c>
      <c r="B48" s="145" t="s">
        <v>245</v>
      </c>
      <c r="C48" s="202"/>
      <c r="D48" s="202"/>
      <c r="E48" s="203"/>
      <c r="F48" s="203"/>
      <c r="G48" s="204"/>
      <c r="H48" s="146"/>
      <c r="I48" s="205"/>
      <c r="J48" s="160"/>
      <c r="K48" s="160"/>
      <c r="L48" s="160"/>
      <c r="M48" s="160"/>
      <c r="N48" s="160"/>
      <c r="O48" s="160"/>
      <c r="P48" s="190"/>
      <c r="Q48" s="236"/>
      <c r="R48" s="237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45"/>
      <c r="AU48" s="146"/>
      <c r="AV48" s="146"/>
      <c r="AW48" s="146"/>
      <c r="AX48" s="146"/>
      <c r="AY48" s="147"/>
      <c r="AZ48" s="280"/>
      <c r="BA48" s="298"/>
      <c r="BB48" s="279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</row>
    <row r="49" spans="1:98" ht="12.75">
      <c r="A49" s="173"/>
      <c r="B49" s="159" t="s">
        <v>246</v>
      </c>
      <c r="C49" s="206"/>
      <c r="D49" s="191"/>
      <c r="E49" s="207"/>
      <c r="F49" s="207"/>
      <c r="G49" s="208"/>
      <c r="H49" s="148"/>
      <c r="I49" s="209"/>
      <c r="J49" s="160"/>
      <c r="K49" s="160"/>
      <c r="L49" s="239"/>
      <c r="M49" s="160"/>
      <c r="N49" s="160"/>
      <c r="O49" s="160"/>
      <c r="P49" s="190"/>
      <c r="Q49" s="236"/>
      <c r="R49" s="237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45"/>
      <c r="AU49" s="146"/>
      <c r="AV49" s="146" t="s">
        <v>330</v>
      </c>
      <c r="AW49" s="146"/>
      <c r="AX49" s="146"/>
      <c r="AY49" s="147"/>
      <c r="AZ49" s="280"/>
      <c r="BA49" s="293"/>
      <c r="BB49" s="279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</row>
    <row r="50" spans="1:98" ht="12.75">
      <c r="A50" s="145" t="s">
        <v>248</v>
      </c>
      <c r="B50" s="143" t="s">
        <v>484</v>
      </c>
      <c r="C50" s="304"/>
      <c r="D50" s="211"/>
      <c r="E50" s="211"/>
      <c r="F50" s="155"/>
      <c r="G50" s="212"/>
      <c r="H50" s="152"/>
      <c r="I50" s="155"/>
      <c r="J50" s="160"/>
      <c r="K50" s="160"/>
      <c r="L50" s="160"/>
      <c r="M50" s="160"/>
      <c r="N50" s="160"/>
      <c r="O50" s="160"/>
      <c r="P50" s="160"/>
      <c r="Q50" s="160"/>
      <c r="R50" s="16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50"/>
      <c r="AU50" s="150"/>
      <c r="AV50" s="270" t="s">
        <v>534</v>
      </c>
      <c r="AW50" s="150"/>
      <c r="AX50" s="150"/>
      <c r="AY50" s="151"/>
      <c r="AZ50" s="280"/>
      <c r="BA50" s="293"/>
      <c r="BB50" s="279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</row>
    <row r="51" spans="1:98" ht="12.75">
      <c r="A51" s="159"/>
      <c r="B51" s="173"/>
      <c r="C51" s="305">
        <v>611127627</v>
      </c>
      <c r="D51" s="302">
        <v>6194.912</v>
      </c>
      <c r="E51" s="302">
        <v>6257.9388</v>
      </c>
      <c r="F51" s="155">
        <v>40</v>
      </c>
      <c r="G51" s="252">
        <f>E51-D51</f>
        <v>63.02679999999964</v>
      </c>
      <c r="H51" s="155"/>
      <c r="I51" s="155">
        <f>ROUND(F51*G51+H51,0)</f>
        <v>2521</v>
      </c>
      <c r="J51" s="160"/>
      <c r="K51" s="160"/>
      <c r="L51" s="160"/>
      <c r="M51" s="160"/>
      <c r="N51" s="160"/>
      <c r="O51" s="160"/>
      <c r="P51" s="160"/>
      <c r="Q51" s="160"/>
      <c r="R51" s="16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60"/>
      <c r="AU51" s="120"/>
      <c r="AV51" s="120"/>
      <c r="AW51" s="120"/>
      <c r="AX51" s="120"/>
      <c r="AY51" s="120"/>
      <c r="AZ51" s="120"/>
      <c r="BA51" s="120"/>
      <c r="BB51" s="120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</row>
    <row r="52" spans="1:98" ht="12.75">
      <c r="A52" s="159"/>
      <c r="B52" s="144" t="s">
        <v>467</v>
      </c>
      <c r="C52" s="305"/>
      <c r="D52" s="306"/>
      <c r="E52" s="306"/>
      <c r="F52" s="155"/>
      <c r="G52" s="212"/>
      <c r="H52" s="155"/>
      <c r="I52" s="155"/>
      <c r="J52" s="160"/>
      <c r="K52" s="160"/>
      <c r="L52" s="160"/>
      <c r="M52" s="160"/>
      <c r="N52" s="160"/>
      <c r="O52" s="160"/>
      <c r="P52" s="160"/>
      <c r="Q52" s="160"/>
      <c r="R52" s="16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60"/>
      <c r="AU52" s="120"/>
      <c r="AV52" s="120"/>
      <c r="AW52" s="120"/>
      <c r="AX52" s="120"/>
      <c r="AY52" s="120"/>
      <c r="AZ52" s="120"/>
      <c r="BA52" s="120"/>
      <c r="BB52" s="120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</row>
    <row r="53" spans="1:98" ht="12.75">
      <c r="A53" s="143" t="s">
        <v>251</v>
      </c>
      <c r="B53" s="161"/>
      <c r="C53" s="213">
        <v>810120245</v>
      </c>
      <c r="D53" s="302">
        <v>3763.2892</v>
      </c>
      <c r="E53" s="302">
        <v>3767.0951</v>
      </c>
      <c r="F53" s="155">
        <v>3600</v>
      </c>
      <c r="G53" s="252">
        <f>E53-D53</f>
        <v>3.8058999999998377</v>
      </c>
      <c r="H53" s="155"/>
      <c r="I53" s="155">
        <f>ROUND(F53*G53+H53,0)</f>
        <v>13701</v>
      </c>
      <c r="J53" s="160"/>
      <c r="K53" s="160"/>
      <c r="L53" s="160"/>
      <c r="M53" s="160"/>
      <c r="N53" s="160"/>
      <c r="O53" s="160"/>
      <c r="P53" s="160"/>
      <c r="Q53" s="160"/>
      <c r="R53" s="16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60" t="s">
        <v>607</v>
      </c>
      <c r="AU53" s="120"/>
      <c r="AV53" s="120"/>
      <c r="AW53" s="120"/>
      <c r="AX53" s="120"/>
      <c r="AY53" s="120"/>
      <c r="AZ53" s="120"/>
      <c r="BA53" s="120"/>
      <c r="BB53" s="120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</row>
    <row r="54" spans="1:98" ht="12.75">
      <c r="A54" s="173"/>
      <c r="B54" s="161" t="s">
        <v>494</v>
      </c>
      <c r="C54" s="213"/>
      <c r="D54" s="302"/>
      <c r="E54" s="302"/>
      <c r="F54" s="155"/>
      <c r="G54" s="252"/>
      <c r="H54" s="96"/>
      <c r="I54" s="155"/>
      <c r="J54" s="160"/>
      <c r="K54" s="160"/>
      <c r="L54" s="160"/>
      <c r="M54" s="160"/>
      <c r="N54" s="160"/>
      <c r="O54" s="160"/>
      <c r="P54" s="160"/>
      <c r="Q54" s="160"/>
      <c r="R54" s="16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60"/>
      <c r="AU54" s="120"/>
      <c r="AV54" s="120"/>
      <c r="AW54" s="120"/>
      <c r="AX54" s="120"/>
      <c r="AY54" s="120"/>
      <c r="AZ54" s="120"/>
      <c r="BA54" s="120"/>
      <c r="BB54" s="120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</row>
    <row r="55" spans="1:98" ht="12.75">
      <c r="A55" s="173"/>
      <c r="B55" s="161"/>
      <c r="C55" s="210">
        <v>4050284</v>
      </c>
      <c r="D55" s="230">
        <v>4306.8708</v>
      </c>
      <c r="E55" s="230">
        <v>4346.9736</v>
      </c>
      <c r="F55" s="155">
        <v>3600</v>
      </c>
      <c r="G55" s="253">
        <f>E55-D55</f>
        <v>40.10280000000057</v>
      </c>
      <c r="H55" s="96"/>
      <c r="I55" s="155">
        <f>ROUND(F55*G55+H55,0)</f>
        <v>144370</v>
      </c>
      <c r="J55" s="160"/>
      <c r="K55" s="160"/>
      <c r="L55" s="160"/>
      <c r="M55" s="160"/>
      <c r="N55" s="160"/>
      <c r="O55" s="160"/>
      <c r="P55" s="160"/>
      <c r="Q55" s="160"/>
      <c r="R55" s="16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60"/>
      <c r="AU55" s="120"/>
      <c r="AV55" s="120"/>
      <c r="AW55" s="120"/>
      <c r="AX55" s="120"/>
      <c r="AY55" s="120"/>
      <c r="AZ55" s="120"/>
      <c r="BA55" s="120"/>
      <c r="BB55" s="120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</row>
    <row r="56" spans="1:98" ht="12.75">
      <c r="A56" s="144"/>
      <c r="B56" s="149"/>
      <c r="C56" s="210"/>
      <c r="D56" s="230"/>
      <c r="E56" s="230"/>
      <c r="F56" s="155"/>
      <c r="G56" s="253"/>
      <c r="H56" s="96"/>
      <c r="I56" s="155"/>
      <c r="J56" s="160"/>
      <c r="K56" s="160"/>
      <c r="L56" s="160"/>
      <c r="M56" s="160"/>
      <c r="N56" s="160"/>
      <c r="O56" s="160"/>
      <c r="P56" s="160"/>
      <c r="Q56" s="160"/>
      <c r="R56" s="24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60"/>
      <c r="AU56" s="120"/>
      <c r="AV56" s="120"/>
      <c r="AW56" s="120"/>
      <c r="AX56" s="120"/>
      <c r="AY56" s="120"/>
      <c r="AZ56" s="120"/>
      <c r="BA56" s="120"/>
      <c r="BB56" s="120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</row>
    <row r="57" spans="1:98" ht="12.75">
      <c r="A57" s="173" t="s">
        <v>252</v>
      </c>
      <c r="B57" s="143" t="s">
        <v>218</v>
      </c>
      <c r="C57" s="152"/>
      <c r="D57" s="211"/>
      <c r="E57" s="211"/>
      <c r="F57" s="155"/>
      <c r="G57" s="212"/>
      <c r="H57" s="96"/>
      <c r="I57" s="155"/>
      <c r="J57" s="160"/>
      <c r="K57" s="120"/>
      <c r="L57" s="120"/>
      <c r="M57" s="120"/>
      <c r="N57" s="120"/>
      <c r="O57" s="120"/>
      <c r="P57" s="120"/>
      <c r="Q57" s="120"/>
      <c r="R57" s="241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60"/>
      <c r="AU57" s="120"/>
      <c r="AV57" s="120"/>
      <c r="AW57" s="120"/>
      <c r="AX57" s="120"/>
      <c r="AY57" s="120"/>
      <c r="AZ57" s="120"/>
      <c r="BA57" s="120"/>
      <c r="BB57" s="271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</row>
    <row r="58" spans="1:98" ht="12.75">
      <c r="A58" s="307"/>
      <c r="B58" s="173" t="s">
        <v>217</v>
      </c>
      <c r="C58" s="305">
        <v>611127492</v>
      </c>
      <c r="D58" s="302">
        <v>20590.776</v>
      </c>
      <c r="E58" s="302">
        <v>20839.5904</v>
      </c>
      <c r="F58" s="155">
        <v>20</v>
      </c>
      <c r="G58" s="252">
        <f>E58-D58</f>
        <v>248.8143999999993</v>
      </c>
      <c r="H58" s="155"/>
      <c r="I58" s="155">
        <f>ROUND(F58*G58+H58,0)</f>
        <v>4976</v>
      </c>
      <c r="J58" s="16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60"/>
      <c r="AU58" s="120"/>
      <c r="AV58" s="120" t="s">
        <v>144</v>
      </c>
      <c r="AW58" s="120"/>
      <c r="AX58" s="120"/>
      <c r="AY58" s="120"/>
      <c r="AZ58" s="120"/>
      <c r="BA58" s="120"/>
      <c r="BB58" s="272">
        <f>BA9</f>
        <v>3.2570671338487482</v>
      </c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</row>
    <row r="59" spans="1:98" ht="12.75">
      <c r="A59" s="145" t="s">
        <v>253</v>
      </c>
      <c r="B59" s="143" t="s">
        <v>485</v>
      </c>
      <c r="C59" s="309"/>
      <c r="D59" s="211"/>
      <c r="E59" s="211"/>
      <c r="F59" s="155"/>
      <c r="G59" s="212"/>
      <c r="H59" s="96"/>
      <c r="I59" s="155"/>
      <c r="J59" s="160"/>
      <c r="K59" s="160"/>
      <c r="L59" s="160"/>
      <c r="M59" s="160"/>
      <c r="N59" s="160"/>
      <c r="O59" s="160"/>
      <c r="P59" s="160"/>
      <c r="Q59" s="160"/>
      <c r="R59" s="16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60"/>
      <c r="AU59" s="120"/>
      <c r="AV59" s="120"/>
      <c r="AW59" s="120"/>
      <c r="AX59" s="120"/>
      <c r="AY59" s="120"/>
      <c r="AZ59" s="120"/>
      <c r="BA59" s="120"/>
      <c r="BB59" s="120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</row>
    <row r="60" spans="1:98" ht="12.75">
      <c r="A60" s="308"/>
      <c r="B60" s="168" t="s">
        <v>546</v>
      </c>
      <c r="C60" s="305">
        <v>611127702</v>
      </c>
      <c r="D60" s="302">
        <v>32070.2848</v>
      </c>
      <c r="E60" s="302">
        <v>32200.9712</v>
      </c>
      <c r="F60" s="155">
        <v>60</v>
      </c>
      <c r="G60" s="252">
        <f>E60-D60</f>
        <v>130.68639999999868</v>
      </c>
      <c r="H60" s="96"/>
      <c r="I60" s="155">
        <f>ROUND(F60*G60+H60,0)</f>
        <v>7841</v>
      </c>
      <c r="J60" s="160"/>
      <c r="K60" s="160"/>
      <c r="L60" s="160"/>
      <c r="M60" s="160"/>
      <c r="N60" s="160"/>
      <c r="O60" s="160"/>
      <c r="P60" s="160"/>
      <c r="Q60" s="160"/>
      <c r="R60" s="16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60"/>
      <c r="AU60" s="160"/>
      <c r="AV60" s="160"/>
      <c r="AW60" s="160"/>
      <c r="AX60" s="160"/>
      <c r="AY60" s="160"/>
      <c r="AZ60" s="160"/>
      <c r="BA60" s="160"/>
      <c r="BB60" s="160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</row>
    <row r="61" spans="1:98" ht="13.5">
      <c r="A61" s="159"/>
      <c r="B61" s="168" t="s">
        <v>547</v>
      </c>
      <c r="C61" s="305">
        <v>611127555</v>
      </c>
      <c r="D61" s="302">
        <v>10054.7428</v>
      </c>
      <c r="E61" s="302">
        <v>10686.4812</v>
      </c>
      <c r="F61" s="155">
        <v>60</v>
      </c>
      <c r="G61" s="252">
        <f>E61-D61</f>
        <v>631.7384000000002</v>
      </c>
      <c r="H61" s="96"/>
      <c r="I61" s="155">
        <f>ROUND(F61*G61+H61,0)</f>
        <v>37904</v>
      </c>
      <c r="J61" s="160"/>
      <c r="K61" s="160"/>
      <c r="L61" s="160"/>
      <c r="M61" s="160"/>
      <c r="N61" s="160"/>
      <c r="O61" s="242"/>
      <c r="P61" s="243"/>
      <c r="Q61" s="160"/>
      <c r="R61" s="16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60"/>
      <c r="AU61" s="160"/>
      <c r="AV61" s="160"/>
      <c r="AW61" s="160"/>
      <c r="AX61" s="160"/>
      <c r="AY61" s="242"/>
      <c r="AZ61" s="243"/>
      <c r="BA61" s="160"/>
      <c r="BB61" s="160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</row>
    <row r="62" spans="1:98" ht="12.75">
      <c r="A62" s="145" t="s">
        <v>258</v>
      </c>
      <c r="B62" s="143" t="s">
        <v>486</v>
      </c>
      <c r="C62" s="310"/>
      <c r="D62" s="232"/>
      <c r="E62" s="232"/>
      <c r="F62" s="155"/>
      <c r="G62" s="212"/>
      <c r="H62" s="96"/>
      <c r="I62" s="155"/>
      <c r="J62" s="160"/>
      <c r="K62" s="160"/>
      <c r="L62" s="160"/>
      <c r="M62" s="160"/>
      <c r="N62" s="160"/>
      <c r="O62" s="160"/>
      <c r="P62" s="160"/>
      <c r="Q62" s="160"/>
      <c r="R62" s="16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60"/>
      <c r="AU62" s="160"/>
      <c r="AV62" s="160"/>
      <c r="AW62" s="160"/>
      <c r="AX62" s="160"/>
      <c r="AY62" s="160"/>
      <c r="AZ62" s="160"/>
      <c r="BA62" s="160"/>
      <c r="BB62" s="160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</row>
    <row r="63" spans="1:98" ht="12.75">
      <c r="A63" s="308"/>
      <c r="B63" s="173"/>
      <c r="C63" s="305">
        <v>1110171163</v>
      </c>
      <c r="D63" s="302">
        <v>1163.6268</v>
      </c>
      <c r="E63" s="302">
        <v>1246.4016</v>
      </c>
      <c r="F63" s="155">
        <v>60</v>
      </c>
      <c r="G63" s="252">
        <f>E63-D63</f>
        <v>82.77479999999991</v>
      </c>
      <c r="H63" s="96"/>
      <c r="I63" s="155">
        <f>ROUND(F63*G63+H63,0)</f>
        <v>4966</v>
      </c>
      <c r="J63" s="243"/>
      <c r="K63" s="160"/>
      <c r="L63" s="160"/>
      <c r="M63" s="160"/>
      <c r="N63" s="160"/>
      <c r="O63" s="160"/>
      <c r="P63" s="189"/>
      <c r="Q63" s="160"/>
      <c r="R63" s="244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243"/>
      <c r="AU63" s="160"/>
      <c r="AV63" s="160"/>
      <c r="AW63" s="160"/>
      <c r="AX63" s="160"/>
      <c r="AY63" s="160"/>
      <c r="AZ63" s="189"/>
      <c r="BA63" s="160"/>
      <c r="BB63" s="24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</row>
    <row r="64" spans="1:98" ht="12.75">
      <c r="A64" s="159"/>
      <c r="B64" s="173"/>
      <c r="C64" s="305"/>
      <c r="D64" s="302"/>
      <c r="E64" s="302"/>
      <c r="F64" s="155"/>
      <c r="G64" s="252"/>
      <c r="H64" s="96"/>
      <c r="I64" s="155"/>
      <c r="J64" s="243"/>
      <c r="K64" s="160"/>
      <c r="L64" s="160"/>
      <c r="M64" s="160"/>
      <c r="N64" s="160"/>
      <c r="O64" s="160"/>
      <c r="P64" s="189"/>
      <c r="Q64" s="160"/>
      <c r="R64" s="244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243"/>
      <c r="AU64" s="160"/>
      <c r="AV64" s="160"/>
      <c r="AW64" s="160"/>
      <c r="AX64" s="160"/>
      <c r="AY64" s="160"/>
      <c r="AZ64" s="189"/>
      <c r="BA64" s="160"/>
      <c r="BB64" s="24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</row>
    <row r="65" spans="1:98" ht="12.75">
      <c r="A65" s="145" t="s">
        <v>260</v>
      </c>
      <c r="B65" s="143" t="s">
        <v>487</v>
      </c>
      <c r="C65" s="311"/>
      <c r="D65" s="232"/>
      <c r="E65" s="232"/>
      <c r="F65" s="155"/>
      <c r="G65" s="212"/>
      <c r="H65" s="96"/>
      <c r="I65" s="155"/>
      <c r="J65" s="243"/>
      <c r="K65" s="160"/>
      <c r="L65" s="160"/>
      <c r="M65" s="160"/>
      <c r="N65" s="160"/>
      <c r="O65" s="160"/>
      <c r="P65" s="189"/>
      <c r="Q65" s="160"/>
      <c r="R65" s="244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243"/>
      <c r="AU65" s="160"/>
      <c r="AV65" s="160"/>
      <c r="AW65" s="160"/>
      <c r="AX65" s="160"/>
      <c r="AY65" s="160"/>
      <c r="AZ65" s="189"/>
      <c r="BA65" s="160"/>
      <c r="BB65" s="24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</row>
    <row r="66" spans="1:98" ht="12.75">
      <c r="A66" s="159"/>
      <c r="B66" s="173"/>
      <c r="C66" s="305">
        <v>1110171170</v>
      </c>
      <c r="D66" s="302">
        <v>178.4808</v>
      </c>
      <c r="E66" s="302">
        <v>184.1328</v>
      </c>
      <c r="F66" s="155">
        <v>40</v>
      </c>
      <c r="G66" s="252">
        <f>E66-D66</f>
        <v>5.652000000000015</v>
      </c>
      <c r="H66" s="155"/>
      <c r="I66" s="155">
        <f>ROUND(F66*G66+H66,0)</f>
        <v>226</v>
      </c>
      <c r="J66" s="243"/>
      <c r="K66" s="160"/>
      <c r="L66" s="160"/>
      <c r="M66" s="160"/>
      <c r="N66" s="160"/>
      <c r="O66" s="160"/>
      <c r="P66" s="189"/>
      <c r="Q66" s="160"/>
      <c r="R66" s="244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243"/>
      <c r="AU66" s="160"/>
      <c r="AV66" s="160"/>
      <c r="AW66" s="160"/>
      <c r="AX66" s="160"/>
      <c r="AY66" s="160"/>
      <c r="AZ66" s="189"/>
      <c r="BA66" s="160"/>
      <c r="BB66" s="24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</row>
    <row r="67" spans="1:98" ht="12.75">
      <c r="A67" s="159"/>
      <c r="B67" s="173"/>
      <c r="C67" s="305"/>
      <c r="D67" s="302"/>
      <c r="E67" s="302"/>
      <c r="F67" s="155"/>
      <c r="G67" s="252"/>
      <c r="H67" s="155"/>
      <c r="I67" s="155"/>
      <c r="J67" s="16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60"/>
      <c r="AU67" s="160"/>
      <c r="AV67" s="160"/>
      <c r="AW67" s="160"/>
      <c r="AX67" s="160"/>
      <c r="AY67" s="160"/>
      <c r="AZ67" s="160"/>
      <c r="BA67" s="160"/>
      <c r="BB67" s="160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</row>
    <row r="68" spans="1:98" ht="12.75">
      <c r="A68" s="145" t="s">
        <v>261</v>
      </c>
      <c r="B68" s="143" t="s">
        <v>550</v>
      </c>
      <c r="C68" s="305">
        <v>611126342</v>
      </c>
      <c r="D68" s="302">
        <v>25782.5391</v>
      </c>
      <c r="E68" s="302">
        <v>25782.5391</v>
      </c>
      <c r="F68" s="155">
        <v>1800</v>
      </c>
      <c r="G68" s="252">
        <f>E68-D68</f>
        <v>0</v>
      </c>
      <c r="H68" s="155"/>
      <c r="I68" s="155">
        <f>ROUND(F68*G68+H68,0)</f>
        <v>0</v>
      </c>
      <c r="J68" s="160"/>
      <c r="K68" s="160"/>
      <c r="L68" s="160"/>
      <c r="M68" s="160"/>
      <c r="N68" s="160"/>
      <c r="O68" s="160"/>
      <c r="P68" s="160"/>
      <c r="Q68" s="160"/>
      <c r="R68" s="16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60"/>
      <c r="AU68" s="160"/>
      <c r="AV68" s="160"/>
      <c r="AW68" s="160"/>
      <c r="AX68" s="160"/>
      <c r="AY68" s="160"/>
      <c r="AZ68" s="160"/>
      <c r="BA68" s="160"/>
      <c r="BB68" s="160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</row>
    <row r="69" spans="1:98" ht="13.5">
      <c r="A69" s="159"/>
      <c r="B69" s="173" t="s">
        <v>551</v>
      </c>
      <c r="C69" s="305">
        <v>611126404</v>
      </c>
      <c r="D69" s="302">
        <v>582.923</v>
      </c>
      <c r="E69" s="302">
        <v>589.8126</v>
      </c>
      <c r="F69" s="155">
        <v>1800</v>
      </c>
      <c r="G69" s="252">
        <f>E69-D69</f>
        <v>6.889599999999973</v>
      </c>
      <c r="H69" s="155"/>
      <c r="I69" s="155">
        <f>ROUND((F69*G69+H69),0)</f>
        <v>12401</v>
      </c>
      <c r="J69" s="160"/>
      <c r="K69" s="160"/>
      <c r="L69" s="160"/>
      <c r="M69" s="160"/>
      <c r="N69" s="160"/>
      <c r="O69" s="242"/>
      <c r="P69" s="243"/>
      <c r="Q69" s="160"/>
      <c r="R69" s="16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60"/>
      <c r="AU69" s="160"/>
      <c r="AV69" s="160"/>
      <c r="AW69" s="160"/>
      <c r="AX69" s="160"/>
      <c r="AY69" s="242"/>
      <c r="AZ69" s="243"/>
      <c r="BA69" s="160"/>
      <c r="BB69" s="160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</row>
    <row r="70" spans="1:98" ht="12.75">
      <c r="A70" s="103"/>
      <c r="B70" s="144" t="s">
        <v>509</v>
      </c>
      <c r="C70" s="305">
        <v>611126334</v>
      </c>
      <c r="D70" s="302">
        <v>2.3724</v>
      </c>
      <c r="E70" s="302">
        <v>2.3724</v>
      </c>
      <c r="F70" s="155">
        <v>1800</v>
      </c>
      <c r="G70" s="252">
        <f>E70-D70</f>
        <v>0</v>
      </c>
      <c r="H70" s="96"/>
      <c r="I70" s="155">
        <f>ROUND(F70*G70+H70,0)</f>
        <v>0</v>
      </c>
      <c r="J70" s="160"/>
      <c r="K70" s="160"/>
      <c r="L70" s="160"/>
      <c r="M70" s="160"/>
      <c r="N70" s="160"/>
      <c r="O70" s="160"/>
      <c r="P70" s="160"/>
      <c r="Q70" s="160"/>
      <c r="R70" s="16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60"/>
      <c r="AU70" s="160"/>
      <c r="AV70" s="160"/>
      <c r="AW70" s="160"/>
      <c r="AX70" s="160"/>
      <c r="AY70" s="160"/>
      <c r="AZ70" s="160"/>
      <c r="BA70" s="160"/>
      <c r="BB70" s="160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</row>
    <row r="71" spans="1:98" ht="12.75">
      <c r="A71" s="159" t="s">
        <v>477</v>
      </c>
      <c r="B71" s="173" t="s">
        <v>488</v>
      </c>
      <c r="C71" s="305">
        <v>611127724</v>
      </c>
      <c r="D71" s="302">
        <v>1899.6276</v>
      </c>
      <c r="E71" s="302">
        <v>1927.136</v>
      </c>
      <c r="F71" s="155">
        <v>30</v>
      </c>
      <c r="G71" s="252">
        <f>E71-D71</f>
        <v>27.508399999999938</v>
      </c>
      <c r="H71" s="155"/>
      <c r="I71" s="155">
        <f>ROUND(F71*G71+H71,0)</f>
        <v>825</v>
      </c>
      <c r="J71" s="243"/>
      <c r="K71" s="160"/>
      <c r="L71" s="160"/>
      <c r="M71" s="160"/>
      <c r="N71" s="160"/>
      <c r="O71" s="160"/>
      <c r="P71" s="189"/>
      <c r="Q71" s="160"/>
      <c r="R71" s="244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243"/>
      <c r="AU71" s="160"/>
      <c r="AV71" s="160"/>
      <c r="AW71" s="160"/>
      <c r="AX71" s="160"/>
      <c r="AY71" s="160"/>
      <c r="AZ71" s="189"/>
      <c r="BA71" s="160"/>
      <c r="BB71" s="24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</row>
    <row r="72" spans="1:98" ht="12.75">
      <c r="A72" s="103"/>
      <c r="B72" s="173" t="s">
        <v>542</v>
      </c>
      <c r="C72" s="305"/>
      <c r="D72" s="306"/>
      <c r="E72" s="306"/>
      <c r="F72" s="155"/>
      <c r="G72" s="212"/>
      <c r="H72" s="155"/>
      <c r="I72" s="155"/>
      <c r="J72" s="243"/>
      <c r="K72" s="160"/>
      <c r="L72" s="160"/>
      <c r="M72" s="160"/>
      <c r="N72" s="160"/>
      <c r="O72" s="160"/>
      <c r="P72" s="189"/>
      <c r="Q72" s="160"/>
      <c r="R72" s="244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243"/>
      <c r="AU72" s="160"/>
      <c r="AV72" s="160"/>
      <c r="AW72" s="160"/>
      <c r="AX72" s="160"/>
      <c r="AY72" s="160"/>
      <c r="AZ72" s="189"/>
      <c r="BA72" s="160"/>
      <c r="BB72" s="24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</row>
    <row r="73" spans="1:98" ht="12.75">
      <c r="A73" s="96"/>
      <c r="B73" s="312"/>
      <c r="C73" s="171"/>
      <c r="D73" s="212"/>
      <c r="E73" s="212"/>
      <c r="F73" s="155"/>
      <c r="G73" s="212"/>
      <c r="H73" s="155"/>
      <c r="I73" s="155"/>
      <c r="J73" s="243"/>
      <c r="K73" s="160"/>
      <c r="L73" s="160"/>
      <c r="M73" s="160"/>
      <c r="N73" s="160"/>
      <c r="O73" s="160"/>
      <c r="P73" s="189"/>
      <c r="Q73" s="160"/>
      <c r="R73" s="244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243"/>
      <c r="AU73" s="160"/>
      <c r="AV73" s="160"/>
      <c r="AW73" s="160"/>
      <c r="AX73" s="160"/>
      <c r="AY73" s="160"/>
      <c r="AZ73" s="189"/>
      <c r="BA73" s="160"/>
      <c r="BB73" s="24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</row>
    <row r="74" spans="1:98" ht="12.75">
      <c r="A74" s="103"/>
      <c r="B74" s="148"/>
      <c r="C74" s="150"/>
      <c r="D74" s="150"/>
      <c r="E74" s="150"/>
      <c r="F74" s="150" t="s">
        <v>264</v>
      </c>
      <c r="G74" s="150"/>
      <c r="H74" s="151"/>
      <c r="I74" s="235">
        <f>ROUND((SUM(I50:I69)-I73),0)</f>
        <v>228906</v>
      </c>
      <c r="J74" s="243"/>
      <c r="K74" s="160"/>
      <c r="L74" s="160"/>
      <c r="M74" s="160"/>
      <c r="N74" s="160"/>
      <c r="O74" s="160"/>
      <c r="P74" s="189"/>
      <c r="Q74" s="160"/>
      <c r="R74" s="244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243"/>
      <c r="AU74" s="160"/>
      <c r="AV74" s="160"/>
      <c r="AW74" s="160"/>
      <c r="AX74" s="160"/>
      <c r="AY74" s="160"/>
      <c r="AZ74" s="189"/>
      <c r="BA74" s="160"/>
      <c r="BB74" s="24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</row>
    <row r="75" spans="1:98" ht="12.75">
      <c r="A75" s="102"/>
      <c r="B75" s="150"/>
      <c r="C75" s="150"/>
      <c r="D75" s="150"/>
      <c r="E75" s="150"/>
      <c r="F75" s="150"/>
      <c r="G75" s="150" t="s">
        <v>265</v>
      </c>
      <c r="H75" s="151"/>
      <c r="I75" s="235">
        <f>ROUND((I18+I20-I47-I74),0)</f>
        <v>6402726</v>
      </c>
      <c r="J75" s="160"/>
      <c r="K75" s="160">
        <f>I18+I20+I22-I47-I74</f>
        <v>6481696</v>
      </c>
      <c r="L75" s="160"/>
      <c r="M75" s="160"/>
      <c r="N75" s="160"/>
      <c r="O75" s="160"/>
      <c r="P75" s="190"/>
      <c r="Q75" s="160"/>
      <c r="R75" s="24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60"/>
      <c r="AU75" s="160"/>
      <c r="AV75" s="160"/>
      <c r="AW75" s="160"/>
      <c r="AX75" s="160"/>
      <c r="AY75" s="160"/>
      <c r="AZ75" s="190"/>
      <c r="BA75" s="160"/>
      <c r="BB75" s="240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</row>
    <row r="76" spans="1:98" ht="12.75">
      <c r="A76" s="96" t="s">
        <v>272</v>
      </c>
      <c r="B76" s="102" t="s">
        <v>266</v>
      </c>
      <c r="C76" s="150"/>
      <c r="D76" s="150"/>
      <c r="E76" s="150"/>
      <c r="F76" s="150"/>
      <c r="G76" s="150"/>
      <c r="H76" s="150"/>
      <c r="I76" s="151"/>
      <c r="J76" s="160"/>
      <c r="K76" s="160"/>
      <c r="L76" s="160"/>
      <c r="M76" s="160"/>
      <c r="N76" s="160"/>
      <c r="O76" s="160"/>
      <c r="P76" s="190"/>
      <c r="Q76" s="160"/>
      <c r="R76" s="24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60"/>
      <c r="AU76" s="160"/>
      <c r="AV76" s="160"/>
      <c r="AW76" s="160"/>
      <c r="AX76" s="160"/>
      <c r="AY76" s="160"/>
      <c r="AZ76" s="190"/>
      <c r="BA76" s="160"/>
      <c r="BB76" s="240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</row>
    <row r="77" spans="1:98" ht="12.75">
      <c r="A77" s="143" t="s">
        <v>270</v>
      </c>
      <c r="B77" s="143" t="s">
        <v>267</v>
      </c>
      <c r="C77" s="171">
        <v>18705639</v>
      </c>
      <c r="D77" s="234">
        <v>18866.5</v>
      </c>
      <c r="E77" s="234">
        <v>18914.2</v>
      </c>
      <c r="F77" s="175">
        <v>30</v>
      </c>
      <c r="G77" s="322">
        <f>E77-D77</f>
        <v>47.70000000000073</v>
      </c>
      <c r="H77" s="143">
        <v>1297</v>
      </c>
      <c r="I77" s="175">
        <f>F77*G77+H77</f>
        <v>2728.000000000022</v>
      </c>
      <c r="J77" s="160"/>
      <c r="K77" s="160"/>
      <c r="L77" s="160"/>
      <c r="M77" s="160"/>
      <c r="N77" s="160"/>
      <c r="O77" s="160"/>
      <c r="P77" s="190"/>
      <c r="Q77" s="160"/>
      <c r="R77" s="24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60"/>
      <c r="AU77" s="160"/>
      <c r="AV77" s="160"/>
      <c r="AW77" s="160"/>
      <c r="AX77" s="160"/>
      <c r="AY77" s="160"/>
      <c r="AZ77" s="190"/>
      <c r="BA77" s="160"/>
      <c r="BB77" s="240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</row>
    <row r="78" spans="1:98" ht="12.75">
      <c r="A78" s="144"/>
      <c r="B78" s="144" t="s">
        <v>268</v>
      </c>
      <c r="C78" s="169"/>
      <c r="D78" s="144"/>
      <c r="E78" s="144"/>
      <c r="F78" s="164"/>
      <c r="G78" s="144"/>
      <c r="H78" s="144"/>
      <c r="I78" s="144"/>
      <c r="J78" s="160"/>
      <c r="K78" s="160"/>
      <c r="L78" s="160"/>
      <c r="M78" s="160"/>
      <c r="N78" s="160"/>
      <c r="O78" s="160"/>
      <c r="P78" s="190"/>
      <c r="Q78" s="160"/>
      <c r="R78" s="24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60"/>
      <c r="AU78" s="160"/>
      <c r="AV78" s="160"/>
      <c r="AW78" s="160"/>
      <c r="AX78" s="160"/>
      <c r="AY78" s="160"/>
      <c r="AZ78" s="190"/>
      <c r="BA78" s="160"/>
      <c r="BB78" s="240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</row>
    <row r="79" spans="1:98" ht="12.75">
      <c r="A79" s="143" t="s">
        <v>271</v>
      </c>
      <c r="B79" s="143" t="s">
        <v>269</v>
      </c>
      <c r="C79" s="171">
        <v>18705843</v>
      </c>
      <c r="D79" s="234">
        <v>1070.8</v>
      </c>
      <c r="E79" s="234">
        <v>1070.8</v>
      </c>
      <c r="F79" s="175">
        <v>30</v>
      </c>
      <c r="G79" s="233">
        <f>E79-D79</f>
        <v>0</v>
      </c>
      <c r="H79" s="143">
        <v>0</v>
      </c>
      <c r="I79" s="175">
        <f>F79*G79+H79</f>
        <v>0</v>
      </c>
      <c r="J79" s="160"/>
      <c r="K79" s="160"/>
      <c r="L79" s="160"/>
      <c r="M79" s="160"/>
      <c r="N79" s="160"/>
      <c r="O79" s="160"/>
      <c r="P79" s="190"/>
      <c r="Q79" s="160"/>
      <c r="R79" s="24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60"/>
      <c r="AU79" s="160"/>
      <c r="AV79" s="160"/>
      <c r="AW79" s="160"/>
      <c r="AX79" s="160"/>
      <c r="AY79" s="160"/>
      <c r="AZ79" s="190"/>
      <c r="BA79" s="160"/>
      <c r="BB79" s="240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</row>
    <row r="80" spans="1:98" ht="12.75">
      <c r="A80" s="144"/>
      <c r="B80" s="144" t="s">
        <v>268</v>
      </c>
      <c r="C80" s="169"/>
      <c r="D80" s="144"/>
      <c r="E80" s="144"/>
      <c r="F80" s="164"/>
      <c r="G80" s="144"/>
      <c r="H80" s="144"/>
      <c r="I80" s="144"/>
      <c r="J80" s="160"/>
      <c r="K80" s="160"/>
      <c r="L80" s="160"/>
      <c r="M80" s="160"/>
      <c r="N80" s="160"/>
      <c r="O80" s="160"/>
      <c r="P80" s="190"/>
      <c r="Q80" s="160"/>
      <c r="R80" s="24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60"/>
      <c r="AU80" s="160"/>
      <c r="AV80" s="160"/>
      <c r="AW80" s="160"/>
      <c r="AX80" s="160"/>
      <c r="AY80" s="160"/>
      <c r="AZ80" s="190"/>
      <c r="BA80" s="160"/>
      <c r="BB80" s="240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</row>
    <row r="81" spans="1:98" ht="12.75">
      <c r="A81" s="102"/>
      <c r="B81" s="150"/>
      <c r="C81" s="217"/>
      <c r="D81" s="199"/>
      <c r="E81" s="218"/>
      <c r="F81" s="218" t="s">
        <v>273</v>
      </c>
      <c r="G81" s="219"/>
      <c r="H81" s="151"/>
      <c r="I81" s="155">
        <f>I77+I79</f>
        <v>2728.000000000022</v>
      </c>
      <c r="J81" s="243"/>
      <c r="K81" s="160"/>
      <c r="L81" s="160"/>
      <c r="M81" s="160"/>
      <c r="N81" s="160"/>
      <c r="O81" s="160"/>
      <c r="P81" s="189"/>
      <c r="Q81" s="160"/>
      <c r="R81" s="244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243"/>
      <c r="AU81" s="160"/>
      <c r="AV81" s="160"/>
      <c r="AW81" s="160"/>
      <c r="AX81" s="160"/>
      <c r="AY81" s="160"/>
      <c r="AZ81" s="189"/>
      <c r="BA81" s="160"/>
      <c r="BB81" s="24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</row>
    <row r="82" spans="1:98" ht="12.75">
      <c r="A82" s="102"/>
      <c r="B82" s="150"/>
      <c r="C82" s="217"/>
      <c r="D82" s="199"/>
      <c r="E82" s="218"/>
      <c r="F82" s="218"/>
      <c r="G82" s="219" t="s">
        <v>274</v>
      </c>
      <c r="H82" s="151"/>
      <c r="I82" s="235">
        <f>I75+I81</f>
        <v>6405454</v>
      </c>
      <c r="J82" s="160"/>
      <c r="K82" s="160"/>
      <c r="L82" s="160"/>
      <c r="M82" s="160"/>
      <c r="N82" s="160"/>
      <c r="O82" s="160"/>
      <c r="P82" s="190"/>
      <c r="Q82" s="160"/>
      <c r="R82" s="24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60"/>
      <c r="AU82" s="160"/>
      <c r="AV82" s="160"/>
      <c r="AW82" s="160"/>
      <c r="AX82" s="160"/>
      <c r="AY82" s="160"/>
      <c r="AZ82" s="190"/>
      <c r="BA82" s="160"/>
      <c r="BB82" s="240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</row>
    <row r="83" spans="1:98" ht="12.75">
      <c r="A83" s="145" t="s">
        <v>275</v>
      </c>
      <c r="B83" s="146"/>
      <c r="C83" s="220"/>
      <c r="D83" s="202"/>
      <c r="E83" s="221"/>
      <c r="F83" s="221"/>
      <c r="G83" s="204"/>
      <c r="H83" s="146"/>
      <c r="I83" s="205"/>
      <c r="J83" s="160"/>
      <c r="K83" s="160"/>
      <c r="L83" s="160"/>
      <c r="M83" s="160"/>
      <c r="N83" s="160"/>
      <c r="O83" s="160"/>
      <c r="P83" s="190"/>
      <c r="Q83" s="160"/>
      <c r="R83" s="24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60"/>
      <c r="AU83" s="160"/>
      <c r="AV83" s="160"/>
      <c r="AW83" s="160"/>
      <c r="AX83" s="160"/>
      <c r="AY83" s="160"/>
      <c r="AZ83" s="190"/>
      <c r="BA83" s="160"/>
      <c r="BB83" s="240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</row>
    <row r="84" spans="1:98" ht="12.75">
      <c r="A84" s="222" t="s">
        <v>538</v>
      </c>
      <c r="B84" s="223"/>
      <c r="C84" s="223"/>
      <c r="D84" s="191"/>
      <c r="E84" s="148"/>
      <c r="F84" s="148"/>
      <c r="G84" s="148"/>
      <c r="H84" s="148"/>
      <c r="I84" s="209"/>
      <c r="J84" s="160"/>
      <c r="K84" s="160"/>
      <c r="L84" s="160"/>
      <c r="M84" s="160"/>
      <c r="N84" s="160"/>
      <c r="O84" s="160"/>
      <c r="P84" s="190"/>
      <c r="Q84" s="160"/>
      <c r="R84" s="24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60"/>
      <c r="AU84" s="160"/>
      <c r="AV84" s="160"/>
      <c r="AW84" s="160"/>
      <c r="AX84" s="160"/>
      <c r="AY84" s="160"/>
      <c r="AZ84" s="190"/>
      <c r="BA84" s="160"/>
      <c r="BB84" s="240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</row>
    <row r="85" spans="1:98" ht="12.75">
      <c r="A85" s="160" t="s">
        <v>279</v>
      </c>
      <c r="B85" s="160"/>
      <c r="C85" s="264"/>
      <c r="D85" s="181"/>
      <c r="E85" s="265"/>
      <c r="F85" s="265"/>
      <c r="G85" s="188"/>
      <c r="H85" s="160"/>
      <c r="I85" s="190"/>
      <c r="J85" s="160"/>
      <c r="K85" s="160"/>
      <c r="L85" s="160"/>
      <c r="M85" s="160"/>
      <c r="N85" s="160"/>
      <c r="O85" s="160"/>
      <c r="P85" s="190"/>
      <c r="Q85" s="160"/>
      <c r="R85" s="24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60"/>
      <c r="AU85" s="160"/>
      <c r="AV85" s="160"/>
      <c r="AW85" s="160"/>
      <c r="AX85" s="160"/>
      <c r="AY85" s="160"/>
      <c r="AZ85" s="190"/>
      <c r="BA85" s="160"/>
      <c r="BB85" s="240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</row>
    <row r="86" spans="1:98" ht="12.75">
      <c r="A86" s="160"/>
      <c r="B86" s="160"/>
      <c r="C86" s="181"/>
      <c r="D86" s="313" t="s">
        <v>280</v>
      </c>
      <c r="E86" s="313"/>
      <c r="F86" s="314"/>
      <c r="G86" s="243"/>
      <c r="H86" s="243"/>
      <c r="I86" s="189"/>
      <c r="J86" s="160"/>
      <c r="K86" s="160"/>
      <c r="L86" s="188"/>
      <c r="M86" s="188"/>
      <c r="N86" s="160"/>
      <c r="O86" s="160"/>
      <c r="P86" s="190"/>
      <c r="Q86" s="160"/>
      <c r="R86" s="24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60"/>
      <c r="AU86" s="160"/>
      <c r="AV86" s="188"/>
      <c r="AW86" s="188"/>
      <c r="AX86" s="160"/>
      <c r="AY86" s="160"/>
      <c r="AZ86" s="190"/>
      <c r="BA86" s="160"/>
      <c r="BB86" s="240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</row>
    <row r="87" spans="1:98" ht="12.75">
      <c r="A87" s="160"/>
      <c r="B87" s="160"/>
      <c r="C87" s="181"/>
      <c r="D87" s="313" t="s">
        <v>531</v>
      </c>
      <c r="E87" s="313"/>
      <c r="F87" s="314"/>
      <c r="G87" s="243"/>
      <c r="H87" s="243"/>
      <c r="I87" s="189"/>
      <c r="J87" s="243"/>
      <c r="K87" s="160"/>
      <c r="L87" s="160"/>
      <c r="M87" s="160"/>
      <c r="N87" s="160"/>
      <c r="O87" s="160"/>
      <c r="P87" s="189"/>
      <c r="Q87" s="160"/>
      <c r="R87" s="244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243"/>
      <c r="AU87" s="160"/>
      <c r="AV87" s="160"/>
      <c r="AW87" s="160"/>
      <c r="AX87" s="160"/>
      <c r="AY87" s="160"/>
      <c r="AZ87" s="189"/>
      <c r="BA87" s="160"/>
      <c r="BB87" s="24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</row>
    <row r="88" spans="1:98" ht="12.75">
      <c r="A88" s="160"/>
      <c r="B88" s="160"/>
      <c r="C88" s="264"/>
      <c r="D88" s="313" t="s">
        <v>539</v>
      </c>
      <c r="E88" s="313"/>
      <c r="F88" s="314"/>
      <c r="G88" s="243"/>
      <c r="H88" s="243"/>
      <c r="I88" s="189"/>
      <c r="J88" s="160"/>
      <c r="K88" s="160"/>
      <c r="L88" s="160"/>
      <c r="M88" s="160"/>
      <c r="N88" s="160"/>
      <c r="O88" s="160"/>
      <c r="P88" s="190"/>
      <c r="Q88" s="160"/>
      <c r="R88" s="24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60"/>
      <c r="AU88" s="160"/>
      <c r="AV88" s="160"/>
      <c r="AW88" s="160"/>
      <c r="AX88" s="160"/>
      <c r="AY88" s="160"/>
      <c r="AZ88" s="190"/>
      <c r="BA88" s="160"/>
      <c r="BB88" s="240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</row>
    <row r="89" spans="1:98" ht="12.75">
      <c r="A89" s="120"/>
      <c r="B89" s="120"/>
      <c r="C89" s="120"/>
      <c r="D89" s="120" t="s">
        <v>192</v>
      </c>
      <c r="E89" s="120"/>
      <c r="F89" s="120"/>
      <c r="G89" s="120"/>
      <c r="H89" s="120"/>
      <c r="I89" s="120"/>
      <c r="J89" s="160"/>
      <c r="K89" s="160"/>
      <c r="L89" s="160"/>
      <c r="M89" s="160"/>
      <c r="N89" s="160"/>
      <c r="O89" s="160"/>
      <c r="P89" s="190"/>
      <c r="Q89" s="160"/>
      <c r="R89" s="24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60" t="s">
        <v>530</v>
      </c>
      <c r="AU89" s="120"/>
      <c r="AV89" s="120"/>
      <c r="AW89" s="120"/>
      <c r="AX89" s="120"/>
      <c r="AY89" s="120"/>
      <c r="AZ89" s="120"/>
      <c r="BA89" s="120"/>
      <c r="BB89" s="120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</row>
    <row r="90" spans="1:98" ht="12.75">
      <c r="A90" s="120"/>
      <c r="B90" s="120"/>
      <c r="C90" s="120"/>
      <c r="D90" s="120" t="s">
        <v>193</v>
      </c>
      <c r="E90" s="120"/>
      <c r="F90" s="120"/>
      <c r="G90" s="120"/>
      <c r="H90" s="120"/>
      <c r="I90" s="120"/>
      <c r="J90" s="243"/>
      <c r="K90" s="160"/>
      <c r="L90" s="160"/>
      <c r="M90" s="160"/>
      <c r="N90" s="160"/>
      <c r="O90" s="160"/>
      <c r="P90" s="189"/>
      <c r="Q90" s="160"/>
      <c r="R90" s="244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60" t="s">
        <v>535</v>
      </c>
      <c r="AU90" s="120"/>
      <c r="AV90" s="120"/>
      <c r="AW90" s="120"/>
      <c r="AX90" s="120"/>
      <c r="AY90" s="120"/>
      <c r="AZ90" s="120"/>
      <c r="BA90" s="120"/>
      <c r="BB90" s="120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</row>
    <row r="91" spans="1:98" ht="13.5">
      <c r="A91" s="120"/>
      <c r="B91" s="120"/>
      <c r="C91" s="120"/>
      <c r="D91" s="120"/>
      <c r="E91" s="120"/>
      <c r="F91" s="120"/>
      <c r="G91" s="120"/>
      <c r="H91" s="120"/>
      <c r="I91" s="120"/>
      <c r="J91" s="243"/>
      <c r="K91" s="160"/>
      <c r="L91" s="160"/>
      <c r="M91" s="160"/>
      <c r="N91" s="160"/>
      <c r="O91" s="160"/>
      <c r="P91" s="189"/>
      <c r="Q91" s="160"/>
      <c r="R91" s="244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60"/>
      <c r="AU91" s="120" t="s">
        <v>4</v>
      </c>
      <c r="AV91" s="120"/>
      <c r="AW91" s="120"/>
      <c r="AX91" s="120"/>
      <c r="AY91" s="254" t="s">
        <v>73</v>
      </c>
      <c r="AZ91" s="196" t="s">
        <v>557</v>
      </c>
      <c r="BA91" s="120"/>
      <c r="BB91" s="120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</row>
    <row r="92" spans="1:98" ht="12.75">
      <c r="A92" s="120"/>
      <c r="B92" s="120"/>
      <c r="C92" s="120" t="s">
        <v>194</v>
      </c>
      <c r="D92" s="120"/>
      <c r="E92" s="120"/>
      <c r="F92" s="120"/>
      <c r="G92" s="120"/>
      <c r="H92" s="120"/>
      <c r="I92" s="120"/>
      <c r="J92" s="243"/>
      <c r="K92" s="160"/>
      <c r="L92" s="160"/>
      <c r="M92" s="160"/>
      <c r="N92" s="160"/>
      <c r="O92" s="160"/>
      <c r="P92" s="189"/>
      <c r="Q92" s="160"/>
      <c r="R92" s="244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50" t="s">
        <v>108</v>
      </c>
      <c r="AU92" s="150"/>
      <c r="AV92" s="150"/>
      <c r="AW92" s="150"/>
      <c r="AX92" s="150"/>
      <c r="AY92" s="151"/>
      <c r="AZ92" s="96" t="s">
        <v>175</v>
      </c>
      <c r="BA92" s="96"/>
      <c r="BB92" s="96" t="s">
        <v>109</v>
      </c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</row>
    <row r="93" spans="1:98" ht="12.75">
      <c r="A93" s="120"/>
      <c r="B93" s="120"/>
      <c r="C93" s="120"/>
      <c r="D93" s="277" t="s">
        <v>605</v>
      </c>
      <c r="E93" s="277"/>
      <c r="F93" s="120"/>
      <c r="G93" s="120"/>
      <c r="H93" s="120"/>
      <c r="I93" s="120"/>
      <c r="J93" s="243"/>
      <c r="K93" s="160"/>
      <c r="L93" s="160"/>
      <c r="M93" s="160"/>
      <c r="N93" s="160"/>
      <c r="O93" s="160"/>
      <c r="P93" s="189"/>
      <c r="Q93" s="160"/>
      <c r="R93" s="244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273" t="s">
        <v>301</v>
      </c>
      <c r="AU93" s="150"/>
      <c r="AV93" s="150"/>
      <c r="AW93" s="150"/>
      <c r="AX93" s="150"/>
      <c r="AY93" s="151"/>
      <c r="AZ93" s="235">
        <v>65764</v>
      </c>
      <c r="BA93" s="199"/>
      <c r="BB93" s="299">
        <f>AZ93*BB58</f>
        <v>214197.76299042907</v>
      </c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</row>
    <row r="94" spans="1:98" ht="12.75">
      <c r="A94" s="120" t="s">
        <v>528</v>
      </c>
      <c r="B94" s="120"/>
      <c r="C94" s="120"/>
      <c r="D94" s="120"/>
      <c r="E94" s="120"/>
      <c r="F94" s="120"/>
      <c r="G94" s="120"/>
      <c r="H94" s="120"/>
      <c r="I94" s="120"/>
      <c r="J94" s="243"/>
      <c r="K94" s="160"/>
      <c r="L94" s="160"/>
      <c r="M94" s="160"/>
      <c r="N94" s="160"/>
      <c r="O94" s="160"/>
      <c r="P94" s="189"/>
      <c r="Q94" s="160"/>
      <c r="R94" s="244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273" t="s">
        <v>300</v>
      </c>
      <c r="AU94" s="150"/>
      <c r="AV94" s="150"/>
      <c r="AW94" s="150"/>
      <c r="AX94" s="150"/>
      <c r="AY94" s="151"/>
      <c r="AZ94" s="235">
        <f>AZ131-SUM(AZ112:AZ120)-AZ109-AZ103-AZ96-AZ95-AZ93</f>
        <v>5206229</v>
      </c>
      <c r="BA94" s="199"/>
      <c r="BB94" s="299">
        <f>AZ94*BB58</f>
        <v>16957037.367190234</v>
      </c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</row>
    <row r="95" spans="1:98" ht="12.75">
      <c r="A95" s="120" t="s">
        <v>196</v>
      </c>
      <c r="B95" s="120"/>
      <c r="C95" s="120"/>
      <c r="D95" s="120"/>
      <c r="E95" s="120"/>
      <c r="F95" s="120"/>
      <c r="G95" s="120"/>
      <c r="H95" s="120"/>
      <c r="I95" s="120"/>
      <c r="J95" s="243"/>
      <c r="K95" s="243"/>
      <c r="L95" s="160"/>
      <c r="M95" s="160"/>
      <c r="N95" s="160"/>
      <c r="O95" s="160"/>
      <c r="P95" s="189"/>
      <c r="Q95" s="160"/>
      <c r="R95" s="244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273" t="s">
        <v>537</v>
      </c>
      <c r="AU95" s="150"/>
      <c r="AV95" s="150"/>
      <c r="AW95" s="150"/>
      <c r="AX95" s="150"/>
      <c r="AY95" s="151"/>
      <c r="AZ95" s="235">
        <v>86170</v>
      </c>
      <c r="BA95" s="199"/>
      <c r="BB95" s="299">
        <f>AZ95*BB58</f>
        <v>280661.47492374666</v>
      </c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</row>
    <row r="96" spans="1:98" ht="12.75">
      <c r="A96" s="120" t="s">
        <v>198</v>
      </c>
      <c r="B96" s="120"/>
      <c r="C96" s="120"/>
      <c r="D96" s="120"/>
      <c r="E96" s="120"/>
      <c r="F96" s="120" t="s">
        <v>197</v>
      </c>
      <c r="G96" s="120"/>
      <c r="H96" s="120"/>
      <c r="I96" s="120"/>
      <c r="J96" s="243"/>
      <c r="K96" s="243"/>
      <c r="L96" s="160"/>
      <c r="M96" s="160"/>
      <c r="N96" s="160"/>
      <c r="O96" s="160"/>
      <c r="P96" s="189"/>
      <c r="Q96" s="160"/>
      <c r="R96" s="244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255" t="s">
        <v>85</v>
      </c>
      <c r="AU96" s="146"/>
      <c r="AV96" s="146"/>
      <c r="AW96" s="146"/>
      <c r="AX96" s="146"/>
      <c r="AY96" s="147"/>
      <c r="AZ96" s="300">
        <f>SUM(AZ97:AZ102)</f>
        <v>815241</v>
      </c>
      <c r="BA96" s="202"/>
      <c r="BB96" s="299">
        <f>AZ96*BB58</f>
        <v>2655294.6672659875</v>
      </c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</row>
    <row r="97" spans="1:98" ht="12.75">
      <c r="A97" s="143" t="s">
        <v>335</v>
      </c>
      <c r="B97" s="171" t="s">
        <v>199</v>
      </c>
      <c r="C97" s="143" t="s">
        <v>200</v>
      </c>
      <c r="D97" s="224" t="s">
        <v>286</v>
      </c>
      <c r="E97" s="225"/>
      <c r="F97" s="143" t="s">
        <v>201</v>
      </c>
      <c r="G97" s="143" t="s">
        <v>404</v>
      </c>
      <c r="H97" s="143" t="s">
        <v>202</v>
      </c>
      <c r="I97" s="143" t="s">
        <v>191</v>
      </c>
      <c r="J97" s="243"/>
      <c r="K97" s="243"/>
      <c r="L97" s="160"/>
      <c r="M97" s="160"/>
      <c r="N97" s="160"/>
      <c r="O97" s="160"/>
      <c r="P97" s="189"/>
      <c r="Q97" s="160"/>
      <c r="R97" s="244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59" t="s">
        <v>87</v>
      </c>
      <c r="AU97" s="160"/>
      <c r="AV97" s="160"/>
      <c r="AW97" s="160"/>
      <c r="AX97" s="160"/>
      <c r="AY97" s="161"/>
      <c r="AZ97" s="163">
        <v>275287</v>
      </c>
      <c r="BA97" s="181"/>
      <c r="BB97" s="299">
        <f>AZ97*BB58</f>
        <v>896628.2400758204</v>
      </c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</row>
    <row r="98" spans="1:98" ht="12.75">
      <c r="A98" s="173"/>
      <c r="B98" s="173"/>
      <c r="C98" s="173"/>
      <c r="D98" s="143" t="s">
        <v>203</v>
      </c>
      <c r="E98" s="145" t="s">
        <v>204</v>
      </c>
      <c r="F98" s="173" t="s">
        <v>205</v>
      </c>
      <c r="G98" s="173" t="s">
        <v>190</v>
      </c>
      <c r="H98" s="173"/>
      <c r="I98" s="173" t="s">
        <v>206</v>
      </c>
      <c r="J98" s="243"/>
      <c r="K98" s="243"/>
      <c r="L98" s="160"/>
      <c r="M98" s="160"/>
      <c r="N98" s="160"/>
      <c r="O98" s="160"/>
      <c r="P98" s="189"/>
      <c r="Q98" s="160"/>
      <c r="R98" s="244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59" t="s">
        <v>88</v>
      </c>
      <c r="AU98" s="160"/>
      <c r="AV98" s="160"/>
      <c r="AW98" s="160"/>
      <c r="AX98" s="160"/>
      <c r="AY98" s="161"/>
      <c r="AZ98" s="163">
        <v>402973</v>
      </c>
      <c r="BA98" s="181"/>
      <c r="BB98" s="299">
        <f>AZ98*BB58</f>
        <v>1312510.1141284315</v>
      </c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</row>
    <row r="99" spans="1:98" ht="12.75">
      <c r="A99" s="144"/>
      <c r="B99" s="144"/>
      <c r="C99" s="144"/>
      <c r="D99" s="144" t="s">
        <v>207</v>
      </c>
      <c r="E99" s="103" t="s">
        <v>207</v>
      </c>
      <c r="F99" s="144" t="s">
        <v>208</v>
      </c>
      <c r="G99" s="144"/>
      <c r="H99" s="144"/>
      <c r="I99" s="144"/>
      <c r="J99" s="160"/>
      <c r="K99" s="160"/>
      <c r="L99" s="160"/>
      <c r="M99" s="160"/>
      <c r="N99" s="160"/>
      <c r="O99" s="160"/>
      <c r="P99" s="189"/>
      <c r="Q99" s="160"/>
      <c r="R99" s="244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59" t="s">
        <v>89</v>
      </c>
      <c r="AU99" s="160"/>
      <c r="AV99" s="160"/>
      <c r="AW99" s="160"/>
      <c r="AX99" s="160"/>
      <c r="AY99" s="161"/>
      <c r="AZ99" s="163">
        <v>135177</v>
      </c>
      <c r="BA99" s="181"/>
      <c r="BB99" s="299">
        <f>AZ99*BB58</f>
        <v>440280.56395227223</v>
      </c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</row>
    <row r="100" spans="1:98" ht="12.75">
      <c r="A100" s="152">
        <v>1</v>
      </c>
      <c r="B100" s="152">
        <v>2</v>
      </c>
      <c r="C100" s="152">
        <v>3</v>
      </c>
      <c r="D100" s="152">
        <v>4</v>
      </c>
      <c r="E100" s="152">
        <v>5</v>
      </c>
      <c r="F100" s="152">
        <v>6</v>
      </c>
      <c r="G100" s="152">
        <v>7</v>
      </c>
      <c r="H100" s="152">
        <v>8</v>
      </c>
      <c r="I100" s="152">
        <v>9</v>
      </c>
      <c r="J100" s="160"/>
      <c r="K100" s="160"/>
      <c r="L100" s="160"/>
      <c r="M100" s="160"/>
      <c r="N100" s="160"/>
      <c r="O100" s="160"/>
      <c r="P100" s="189"/>
      <c r="Q100" s="160"/>
      <c r="R100" s="244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59" t="s">
        <v>90</v>
      </c>
      <c r="AU100" s="160"/>
      <c r="AV100" s="160"/>
      <c r="AW100" s="160"/>
      <c r="AX100" s="160"/>
      <c r="AY100" s="161"/>
      <c r="AZ100" s="163">
        <v>200</v>
      </c>
      <c r="BA100" s="181"/>
      <c r="BB100" s="299">
        <f>AZ100*BB58</f>
        <v>651.4134267697497</v>
      </c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</row>
    <row r="101" spans="1:98" ht="12.75">
      <c r="A101" s="103"/>
      <c r="B101" s="148"/>
      <c r="C101" s="320" t="s">
        <v>287</v>
      </c>
      <c r="D101" s="320"/>
      <c r="E101" s="148"/>
      <c r="F101" s="148"/>
      <c r="G101" s="148"/>
      <c r="H101" s="148"/>
      <c r="I101" s="149"/>
      <c r="J101" s="160"/>
      <c r="K101" s="160"/>
      <c r="L101" s="160"/>
      <c r="M101" s="160"/>
      <c r="N101" s="160"/>
      <c r="O101" s="160"/>
      <c r="P101" s="189"/>
      <c r="Q101" s="160"/>
      <c r="R101" s="244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59" t="s">
        <v>91</v>
      </c>
      <c r="AU101" s="160"/>
      <c r="AV101" s="160"/>
      <c r="AW101" s="160"/>
      <c r="AX101" s="160"/>
      <c r="AY101" s="161"/>
      <c r="AZ101" s="163">
        <v>604</v>
      </c>
      <c r="BA101" s="181"/>
      <c r="BB101" s="299">
        <f>AZ101*BB58</f>
        <v>1967.2685488446439</v>
      </c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</row>
    <row r="102" spans="1:98" ht="12.75">
      <c r="A102" s="96"/>
      <c r="B102" s="102" t="s">
        <v>526</v>
      </c>
      <c r="C102" s="150"/>
      <c r="D102" s="150"/>
      <c r="E102" s="150"/>
      <c r="F102" s="150"/>
      <c r="G102" s="150"/>
      <c r="H102" s="150"/>
      <c r="I102" s="151"/>
      <c r="J102" s="160"/>
      <c r="K102" s="160"/>
      <c r="L102" s="160"/>
      <c r="M102" s="160"/>
      <c r="N102" s="160"/>
      <c r="O102" s="160"/>
      <c r="P102" s="189"/>
      <c r="Q102" s="160"/>
      <c r="R102" s="244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03" t="s">
        <v>41</v>
      </c>
      <c r="AU102" s="148"/>
      <c r="AV102" s="148"/>
      <c r="AW102" s="148"/>
      <c r="AX102" s="148"/>
      <c r="AY102" s="149"/>
      <c r="AZ102" s="164">
        <v>1000</v>
      </c>
      <c r="BA102" s="191"/>
      <c r="BB102" s="299">
        <f>AZ102*BB58</f>
        <v>3257.067133848748</v>
      </c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</row>
    <row r="103" spans="1:98" ht="12.75">
      <c r="A103" s="171">
        <v>1</v>
      </c>
      <c r="B103" s="143" t="s">
        <v>249</v>
      </c>
      <c r="C103" s="197">
        <v>804152757</v>
      </c>
      <c r="D103" s="230">
        <v>2360.9919</v>
      </c>
      <c r="E103" s="230">
        <v>2409.8609</v>
      </c>
      <c r="F103" s="155">
        <v>36000</v>
      </c>
      <c r="G103" s="252">
        <f>E103-D103</f>
        <v>48.86900000000014</v>
      </c>
      <c r="H103" s="96"/>
      <c r="I103" s="155">
        <f>F103*G103+H103</f>
        <v>1759284.0000000051</v>
      </c>
      <c r="J103" s="160"/>
      <c r="K103" s="160"/>
      <c r="L103" s="160"/>
      <c r="M103" s="160"/>
      <c r="N103" s="160"/>
      <c r="O103" s="160"/>
      <c r="P103" s="189"/>
      <c r="Q103" s="160"/>
      <c r="R103" s="244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255" t="s">
        <v>303</v>
      </c>
      <c r="AU103" s="146"/>
      <c r="AV103" s="146"/>
      <c r="AW103" s="146"/>
      <c r="AX103" s="146"/>
      <c r="AY103" s="147"/>
      <c r="AZ103" s="300">
        <f>SUM(AZ104:AZ108)</f>
        <v>13520</v>
      </c>
      <c r="BA103" s="202"/>
      <c r="BB103" s="299">
        <f>AZ103*BB58</f>
        <v>44035.547649635075</v>
      </c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</row>
    <row r="104" spans="1:98" ht="12.75">
      <c r="A104" s="144"/>
      <c r="B104" s="103" t="s">
        <v>250</v>
      </c>
      <c r="C104" s="213">
        <v>109054169</v>
      </c>
      <c r="D104" s="230">
        <v>2924.2249</v>
      </c>
      <c r="E104" s="230">
        <v>2990.9807</v>
      </c>
      <c r="F104" s="155">
        <v>36000</v>
      </c>
      <c r="G104" s="252">
        <f>E104-D104</f>
        <v>66.75579999999991</v>
      </c>
      <c r="H104" s="96"/>
      <c r="I104" s="155">
        <f>F104*G104+H104</f>
        <v>2403208.7999999966</v>
      </c>
      <c r="J104" s="160"/>
      <c r="K104" s="160"/>
      <c r="L104" s="188"/>
      <c r="M104" s="188"/>
      <c r="N104" s="160"/>
      <c r="O104" s="160"/>
      <c r="P104" s="189"/>
      <c r="Q104" s="160"/>
      <c r="R104" s="244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59"/>
      <c r="AU104" s="160" t="s">
        <v>389</v>
      </c>
      <c r="AV104" s="160"/>
      <c r="AW104" s="160"/>
      <c r="AX104" s="160"/>
      <c r="AY104" s="161"/>
      <c r="AZ104" s="163">
        <v>2080</v>
      </c>
      <c r="BA104" s="181"/>
      <c r="BB104" s="299">
        <f>AZ104*BB58</f>
        <v>6774.699638405396</v>
      </c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</row>
    <row r="105" spans="1:98" ht="12.75">
      <c r="A105" s="102"/>
      <c r="B105" s="150"/>
      <c r="C105" s="148"/>
      <c r="D105" s="150"/>
      <c r="E105" s="150"/>
      <c r="F105" s="214" t="s">
        <v>212</v>
      </c>
      <c r="G105" s="150"/>
      <c r="H105" s="151"/>
      <c r="I105" s="155">
        <f>I103+I104</f>
        <v>4162492.8000000017</v>
      </c>
      <c r="J105" s="160"/>
      <c r="K105" s="160"/>
      <c r="L105" s="160"/>
      <c r="M105" s="160"/>
      <c r="N105" s="160"/>
      <c r="O105" s="160"/>
      <c r="P105" s="190"/>
      <c r="Q105" s="160"/>
      <c r="R105" s="16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59" t="s">
        <v>385</v>
      </c>
      <c r="AU105" s="160"/>
      <c r="AV105" s="160" t="s">
        <v>304</v>
      </c>
      <c r="AW105" s="160"/>
      <c r="AX105" s="160"/>
      <c r="AY105" s="161"/>
      <c r="AZ105" s="163">
        <v>5520</v>
      </c>
      <c r="BA105" s="181"/>
      <c r="BB105" s="299">
        <f>AZ105*BB58</f>
        <v>17979.01057884509</v>
      </c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</row>
    <row r="106" spans="1:98" ht="12.75">
      <c r="A106" s="96" t="s">
        <v>213</v>
      </c>
      <c r="B106" s="102" t="s">
        <v>214</v>
      </c>
      <c r="C106" s="150"/>
      <c r="D106" s="150"/>
      <c r="E106" s="150"/>
      <c r="F106" s="150"/>
      <c r="G106" s="150"/>
      <c r="H106" s="150"/>
      <c r="I106" s="151"/>
      <c r="J106" s="160"/>
      <c r="K106" s="160"/>
      <c r="L106" s="160"/>
      <c r="M106" s="160"/>
      <c r="N106" s="160"/>
      <c r="O106" s="160"/>
      <c r="P106" s="190"/>
      <c r="Q106" s="160"/>
      <c r="R106" s="16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59" t="s">
        <v>385</v>
      </c>
      <c r="AU106" s="160"/>
      <c r="AV106" s="160" t="s">
        <v>390</v>
      </c>
      <c r="AW106" s="160"/>
      <c r="AX106" s="160"/>
      <c r="AY106" s="161"/>
      <c r="AZ106" s="163">
        <v>0</v>
      </c>
      <c r="BA106" s="181"/>
      <c r="BB106" s="299">
        <f>AZ106*BB58</f>
        <v>0</v>
      </c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</row>
    <row r="107" spans="1:98" ht="12.75">
      <c r="A107" s="96" t="s">
        <v>215</v>
      </c>
      <c r="B107" s="96" t="s">
        <v>216</v>
      </c>
      <c r="C107" s="213">
        <v>109053225</v>
      </c>
      <c r="D107" s="230">
        <v>7545.7784</v>
      </c>
      <c r="E107" s="230">
        <v>7604.3866</v>
      </c>
      <c r="F107" s="155">
        <v>21000</v>
      </c>
      <c r="G107" s="252">
        <f>E107-D107</f>
        <v>58.60819999999967</v>
      </c>
      <c r="H107" s="96"/>
      <c r="I107" s="155">
        <f>F107*G107+H107</f>
        <v>1230772.199999993</v>
      </c>
      <c r="J107" s="160"/>
      <c r="K107" s="160"/>
      <c r="L107" s="160"/>
      <c r="M107" s="160"/>
      <c r="N107" s="160"/>
      <c r="O107" s="160"/>
      <c r="P107" s="190"/>
      <c r="Q107" s="160"/>
      <c r="R107" s="16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60"/>
      <c r="AU107" s="160"/>
      <c r="AV107" s="160" t="s">
        <v>391</v>
      </c>
      <c r="AW107" s="160"/>
      <c r="AX107" s="160"/>
      <c r="AY107" s="160"/>
      <c r="AZ107" s="163">
        <v>220</v>
      </c>
      <c r="BA107" s="168"/>
      <c r="BB107" s="299">
        <f>AZ107*BB58</f>
        <v>716.5547694467247</v>
      </c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</row>
    <row r="108" spans="1:98" ht="12.75">
      <c r="A108" s="96" t="s">
        <v>521</v>
      </c>
      <c r="B108" s="150" t="s">
        <v>524</v>
      </c>
      <c r="C108" s="148"/>
      <c r="D108" s="150"/>
      <c r="E108" s="150"/>
      <c r="F108" s="214"/>
      <c r="G108" s="150"/>
      <c r="H108" s="151"/>
      <c r="I108" s="155"/>
      <c r="J108" s="160"/>
      <c r="K108" s="160"/>
      <c r="L108" s="160"/>
      <c r="M108" s="160"/>
      <c r="N108" s="160"/>
      <c r="O108" s="160"/>
      <c r="P108" s="190"/>
      <c r="Q108" s="160"/>
      <c r="R108" s="16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03" t="s">
        <v>155</v>
      </c>
      <c r="AU108" s="148"/>
      <c r="AV108" s="208"/>
      <c r="AW108" s="208"/>
      <c r="AX108" s="148"/>
      <c r="AY108" s="149"/>
      <c r="AZ108" s="164">
        <v>5700</v>
      </c>
      <c r="BA108" s="191"/>
      <c r="BB108" s="299">
        <f>AZ108*BB58</f>
        <v>18565.282662937865</v>
      </c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</row>
    <row r="109" spans="1:98" ht="12.75">
      <c r="A109" s="96" t="s">
        <v>522</v>
      </c>
      <c r="B109" s="102" t="s">
        <v>525</v>
      </c>
      <c r="C109" s="150"/>
      <c r="D109" s="150"/>
      <c r="E109" s="150"/>
      <c r="F109" s="150"/>
      <c r="G109" s="150"/>
      <c r="H109" s="151"/>
      <c r="I109" s="280"/>
      <c r="J109" s="160"/>
      <c r="K109" s="160"/>
      <c r="L109" s="160"/>
      <c r="M109" s="160"/>
      <c r="N109" s="160"/>
      <c r="O109" s="160"/>
      <c r="P109" s="190"/>
      <c r="Q109" s="160"/>
      <c r="R109" s="244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255" t="s">
        <v>536</v>
      </c>
      <c r="AU109" s="146"/>
      <c r="AV109" s="146"/>
      <c r="AW109" s="146"/>
      <c r="AX109" s="146"/>
      <c r="AY109" s="147"/>
      <c r="AZ109" s="300">
        <f>AZ110+AZ111</f>
        <v>95732</v>
      </c>
      <c r="BA109" s="202"/>
      <c r="BB109" s="299">
        <f>AZ109*BB58</f>
        <v>311805.5508576084</v>
      </c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</row>
    <row r="110" spans="1:98" ht="12.75">
      <c r="A110" s="102" t="s">
        <v>523</v>
      </c>
      <c r="B110" s="102"/>
      <c r="C110" s="371"/>
      <c r="D110" s="372"/>
      <c r="E110" s="372"/>
      <c r="F110" s="373"/>
      <c r="G110" s="374"/>
      <c r="H110" s="151"/>
      <c r="I110" s="280"/>
      <c r="J110" s="160"/>
      <c r="K110" s="160"/>
      <c r="L110" s="160"/>
      <c r="M110" s="160"/>
      <c r="N110" s="160"/>
      <c r="O110" s="160"/>
      <c r="P110" s="190"/>
      <c r="Q110" s="160"/>
      <c r="R110" s="16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59" t="s">
        <v>93</v>
      </c>
      <c r="AU110" s="160"/>
      <c r="AV110" s="160"/>
      <c r="AW110" s="160"/>
      <c r="AX110" s="160"/>
      <c r="AY110" s="161"/>
      <c r="AZ110" s="163">
        <v>7418</v>
      </c>
      <c r="BA110" s="181"/>
      <c r="BB110" s="299">
        <f>AZ110*BB58</f>
        <v>24160.923998890015</v>
      </c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</row>
    <row r="111" spans="1:98" ht="12.75">
      <c r="A111" s="96" t="s">
        <v>219</v>
      </c>
      <c r="B111" s="102" t="s">
        <v>220</v>
      </c>
      <c r="C111" s="150"/>
      <c r="D111" s="150"/>
      <c r="E111" s="150"/>
      <c r="F111" s="150"/>
      <c r="G111" s="150"/>
      <c r="H111" s="150"/>
      <c r="I111" s="151"/>
      <c r="J111" s="160"/>
      <c r="K111" s="160"/>
      <c r="L111" s="160"/>
      <c r="M111" s="160"/>
      <c r="N111" s="160"/>
      <c r="O111" s="160"/>
      <c r="P111" s="160"/>
      <c r="Q111" s="160"/>
      <c r="R111" s="16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03" t="s">
        <v>94</v>
      </c>
      <c r="AU111" s="148"/>
      <c r="AV111" s="148"/>
      <c r="AW111" s="148"/>
      <c r="AX111" s="148"/>
      <c r="AY111" s="149"/>
      <c r="AZ111" s="164">
        <v>88314</v>
      </c>
      <c r="BA111" s="191"/>
      <c r="BB111" s="299">
        <f>AZ111*BB58</f>
        <v>287644.62685871834</v>
      </c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</row>
    <row r="112" spans="1:98" ht="12.75">
      <c r="A112" s="143" t="s">
        <v>221</v>
      </c>
      <c r="B112" s="143" t="s">
        <v>224</v>
      </c>
      <c r="C112" s="197"/>
      <c r="D112" s="171"/>
      <c r="E112" s="171"/>
      <c r="F112" s="175"/>
      <c r="G112" s="171"/>
      <c r="H112" s="171"/>
      <c r="I112" s="171"/>
      <c r="J112" s="160"/>
      <c r="K112" s="160"/>
      <c r="L112" s="160"/>
      <c r="M112" s="160"/>
      <c r="N112" s="160"/>
      <c r="O112" s="160"/>
      <c r="P112" s="160"/>
      <c r="Q112" s="160"/>
      <c r="R112" s="16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273" t="s">
        <v>392</v>
      </c>
      <c r="AU112" s="150"/>
      <c r="AV112" s="150"/>
      <c r="AW112" s="150"/>
      <c r="AX112" s="150"/>
      <c r="AY112" s="151"/>
      <c r="AZ112" s="235">
        <v>10500</v>
      </c>
      <c r="BA112" s="199"/>
      <c r="BB112" s="299">
        <f>AZ112*BB58</f>
        <v>34199.204905411854</v>
      </c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</row>
    <row r="113" spans="1:98" ht="12.75">
      <c r="A113" s="144"/>
      <c r="B113" s="144" t="s">
        <v>222</v>
      </c>
      <c r="C113" s="198">
        <v>109056121</v>
      </c>
      <c r="D113" s="323">
        <v>6528.5818</v>
      </c>
      <c r="E113" s="323">
        <v>6554.309</v>
      </c>
      <c r="F113" s="164">
        <v>4800</v>
      </c>
      <c r="G113" s="324">
        <f aca="true" t="shared" si="2" ref="G113:G132">E113-D113</f>
        <v>25.727200000000266</v>
      </c>
      <c r="H113" s="164"/>
      <c r="I113" s="164">
        <f>F113*G113+H113</f>
        <v>123490.56000000128</v>
      </c>
      <c r="J113" s="160"/>
      <c r="K113" s="160"/>
      <c r="L113" s="160"/>
      <c r="M113" s="160"/>
      <c r="N113" s="160"/>
      <c r="O113" s="160"/>
      <c r="P113" s="160"/>
      <c r="Q113" s="160"/>
      <c r="R113" s="16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273" t="s">
        <v>154</v>
      </c>
      <c r="AU113" s="150"/>
      <c r="AV113" s="150"/>
      <c r="AW113" s="150"/>
      <c r="AX113" s="150"/>
      <c r="AY113" s="151"/>
      <c r="AZ113" s="235">
        <v>23160</v>
      </c>
      <c r="BA113" s="199"/>
      <c r="BB113" s="299">
        <f>AZ113*BB58</f>
        <v>75433.674819937</v>
      </c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</row>
    <row r="114" spans="1:98" ht="12.75">
      <c r="A114" s="143" t="s">
        <v>223</v>
      </c>
      <c r="B114" s="143" t="s">
        <v>235</v>
      </c>
      <c r="C114" s="197">
        <v>623125232</v>
      </c>
      <c r="D114" s="325">
        <v>3004.4408</v>
      </c>
      <c r="E114" s="325">
        <v>3004.4408</v>
      </c>
      <c r="F114" s="175">
        <v>1800</v>
      </c>
      <c r="G114" s="326">
        <f t="shared" si="2"/>
        <v>0</v>
      </c>
      <c r="H114" s="171"/>
      <c r="I114" s="175">
        <f>G114*F114</f>
        <v>0</v>
      </c>
      <c r="J114" s="160"/>
      <c r="K114" s="160"/>
      <c r="L114" s="160"/>
      <c r="M114" s="160"/>
      <c r="N114" s="160"/>
      <c r="O114" s="160"/>
      <c r="P114" s="160"/>
      <c r="Q114" s="160"/>
      <c r="R114" s="16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273" t="s">
        <v>362</v>
      </c>
      <c r="AU114" s="150"/>
      <c r="AV114" s="150"/>
      <c r="AW114" s="150"/>
      <c r="AX114" s="150"/>
      <c r="AY114" s="151"/>
      <c r="AZ114" s="235">
        <v>13728</v>
      </c>
      <c r="BA114" s="199"/>
      <c r="BB114" s="299">
        <f>AZ114*BB58</f>
        <v>44713.01761347562</v>
      </c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</row>
    <row r="115" spans="1:98" ht="12.75">
      <c r="A115" s="144"/>
      <c r="B115" s="144" t="s">
        <v>222</v>
      </c>
      <c r="C115" s="169"/>
      <c r="D115" s="228"/>
      <c r="E115" s="228"/>
      <c r="F115" s="164"/>
      <c r="G115" s="227"/>
      <c r="H115" s="169"/>
      <c r="I115" s="164"/>
      <c r="J115" s="160"/>
      <c r="K115" s="160"/>
      <c r="L115" s="160"/>
      <c r="M115" s="160"/>
      <c r="N115" s="160"/>
      <c r="O115" s="160"/>
      <c r="P115" s="160"/>
      <c r="Q115" s="160"/>
      <c r="R115" s="16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273" t="s">
        <v>297</v>
      </c>
      <c r="AU115" s="150"/>
      <c r="AV115" s="150"/>
      <c r="AW115" s="150"/>
      <c r="AX115" s="150"/>
      <c r="AY115" s="151"/>
      <c r="AZ115" s="235">
        <v>2880</v>
      </c>
      <c r="BA115" s="199"/>
      <c r="BB115" s="299">
        <f>AZ115*BB58</f>
        <v>9380.353345484395</v>
      </c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</row>
    <row r="116" spans="1:98" ht="12.75">
      <c r="A116" s="143" t="s">
        <v>225</v>
      </c>
      <c r="B116" s="143" t="s">
        <v>236</v>
      </c>
      <c r="C116" s="197">
        <v>623125667</v>
      </c>
      <c r="D116" s="325">
        <v>3697.4237</v>
      </c>
      <c r="E116" s="325">
        <v>3778.8104</v>
      </c>
      <c r="F116" s="175">
        <v>1800</v>
      </c>
      <c r="G116" s="326">
        <f t="shared" si="2"/>
        <v>81.38670000000002</v>
      </c>
      <c r="H116" s="171"/>
      <c r="I116" s="175">
        <f>G116*F116</f>
        <v>146496.06000000003</v>
      </c>
      <c r="J116" s="160"/>
      <c r="K116" s="160"/>
      <c r="L116" s="160"/>
      <c r="M116" s="160"/>
      <c r="N116" s="160"/>
      <c r="O116" s="160"/>
      <c r="P116" s="160"/>
      <c r="Q116" s="160"/>
      <c r="R116" s="16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273" t="s">
        <v>6</v>
      </c>
      <c r="AU116" s="150"/>
      <c r="AV116" s="150"/>
      <c r="AW116" s="150"/>
      <c r="AX116" s="150"/>
      <c r="AY116" s="151"/>
      <c r="AZ116" s="235">
        <v>25000</v>
      </c>
      <c r="BA116" s="199"/>
      <c r="BB116" s="299">
        <f>AZ116*BB58</f>
        <v>81426.6783462187</v>
      </c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</row>
    <row r="117" spans="1:98" ht="12.75">
      <c r="A117" s="144"/>
      <c r="B117" s="144" t="s">
        <v>222</v>
      </c>
      <c r="C117" s="169"/>
      <c r="D117" s="228"/>
      <c r="E117" s="228"/>
      <c r="F117" s="164"/>
      <c r="G117" s="227"/>
      <c r="H117" s="169"/>
      <c r="I117" s="164"/>
      <c r="J117" s="160"/>
      <c r="K117" s="160"/>
      <c r="L117" s="160"/>
      <c r="M117" s="160"/>
      <c r="N117" s="160"/>
      <c r="O117" s="160"/>
      <c r="P117" s="160"/>
      <c r="Q117" s="160"/>
      <c r="R117" s="16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273" t="s">
        <v>21</v>
      </c>
      <c r="AU117" s="214"/>
      <c r="AV117" s="150"/>
      <c r="AW117" s="150"/>
      <c r="AX117" s="150"/>
      <c r="AY117" s="151"/>
      <c r="AZ117" s="235">
        <v>8000</v>
      </c>
      <c r="BA117" s="199"/>
      <c r="BB117" s="299">
        <f>AZ117*BB58</f>
        <v>26056.537070789986</v>
      </c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</row>
    <row r="118" spans="1:98" ht="12.75">
      <c r="A118" s="143" t="s">
        <v>226</v>
      </c>
      <c r="B118" s="143" t="s">
        <v>237</v>
      </c>
      <c r="C118" s="197">
        <v>623126370</v>
      </c>
      <c r="D118" s="325">
        <v>732.5719</v>
      </c>
      <c r="E118" s="325">
        <v>749.4651</v>
      </c>
      <c r="F118" s="175">
        <v>4800</v>
      </c>
      <c r="G118" s="326">
        <f t="shared" si="2"/>
        <v>16.89319999999998</v>
      </c>
      <c r="H118" s="171"/>
      <c r="I118" s="175">
        <f>G118*F118</f>
        <v>81087.3599999999</v>
      </c>
      <c r="J118" s="160"/>
      <c r="K118" s="160"/>
      <c r="L118" s="160"/>
      <c r="M118" s="160"/>
      <c r="N118" s="160"/>
      <c r="O118" s="160"/>
      <c r="P118" s="160"/>
      <c r="Q118" s="160"/>
      <c r="R118" s="16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273" t="s">
        <v>388</v>
      </c>
      <c r="AU118" s="214"/>
      <c r="AV118" s="150"/>
      <c r="AW118" s="150"/>
      <c r="AX118" s="150"/>
      <c r="AY118" s="151"/>
      <c r="AZ118" s="235">
        <v>50</v>
      </c>
      <c r="BA118" s="199"/>
      <c r="BB118" s="299">
        <f>AZ118*BB58</f>
        <v>162.85335669243742</v>
      </c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</row>
    <row r="119" spans="1:98" ht="12.75">
      <c r="A119" s="144"/>
      <c r="B119" s="144" t="s">
        <v>222</v>
      </c>
      <c r="C119" s="169"/>
      <c r="D119" s="228"/>
      <c r="E119" s="228"/>
      <c r="F119" s="164"/>
      <c r="G119" s="227"/>
      <c r="H119" s="169"/>
      <c r="I119" s="164"/>
      <c r="J119" s="160"/>
      <c r="K119" s="160"/>
      <c r="L119" s="160"/>
      <c r="M119" s="160"/>
      <c r="N119" s="160"/>
      <c r="O119" s="160"/>
      <c r="P119" s="160"/>
      <c r="Q119" s="160"/>
      <c r="R119" s="16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273" t="s">
        <v>365</v>
      </c>
      <c r="AU119" s="214"/>
      <c r="AV119" s="150"/>
      <c r="AW119" s="150"/>
      <c r="AX119" s="150"/>
      <c r="AY119" s="151"/>
      <c r="AZ119" s="235">
        <v>39480</v>
      </c>
      <c r="BA119" s="199"/>
      <c r="BB119" s="299">
        <f>AZ119*BB58</f>
        <v>128589.01044434858</v>
      </c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</row>
    <row r="120" spans="1:98" ht="12.75">
      <c r="A120" s="143" t="s">
        <v>227</v>
      </c>
      <c r="B120" s="143" t="s">
        <v>238</v>
      </c>
      <c r="C120" s="197">
        <v>623125137</v>
      </c>
      <c r="D120" s="325">
        <v>695.661</v>
      </c>
      <c r="E120" s="325">
        <v>695.661</v>
      </c>
      <c r="F120" s="175">
        <v>4800</v>
      </c>
      <c r="G120" s="326">
        <f t="shared" si="2"/>
        <v>0</v>
      </c>
      <c r="H120" s="171"/>
      <c r="I120" s="175">
        <f>G120*F120</f>
        <v>0</v>
      </c>
      <c r="J120" s="160"/>
      <c r="K120" s="160"/>
      <c r="L120" s="160"/>
      <c r="M120" s="160"/>
      <c r="N120" s="160"/>
      <c r="O120" s="160"/>
      <c r="P120" s="160"/>
      <c r="Q120" s="160"/>
      <c r="R120" s="16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273"/>
      <c r="AU120" s="214"/>
      <c r="AV120" s="150"/>
      <c r="AW120" s="150"/>
      <c r="AX120" s="150"/>
      <c r="AY120" s="151"/>
      <c r="AZ120" s="235"/>
      <c r="BA120" s="199"/>
      <c r="BB120" s="299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</row>
    <row r="121" spans="1:98" ht="12.75">
      <c r="A121" s="144"/>
      <c r="B121" s="144" t="s">
        <v>222</v>
      </c>
      <c r="C121" s="169"/>
      <c r="D121" s="228"/>
      <c r="E121" s="228"/>
      <c r="F121" s="164"/>
      <c r="G121" s="227"/>
      <c r="H121" s="169"/>
      <c r="I121" s="164"/>
      <c r="J121" s="160"/>
      <c r="K121" s="160"/>
      <c r="L121" s="160"/>
      <c r="M121" s="160"/>
      <c r="N121" s="160"/>
      <c r="O121" s="160"/>
      <c r="P121" s="160"/>
      <c r="Q121" s="160"/>
      <c r="R121" s="16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02"/>
      <c r="AU121" s="150"/>
      <c r="AV121" s="150"/>
      <c r="AW121" s="150"/>
      <c r="AX121" s="150"/>
      <c r="AY121" s="151"/>
      <c r="AZ121" s="235"/>
      <c r="BA121" s="199"/>
      <c r="BB121" s="299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</row>
    <row r="122" spans="1:98" ht="12.75">
      <c r="A122" s="143" t="s">
        <v>228</v>
      </c>
      <c r="B122" s="143" t="s">
        <v>239</v>
      </c>
      <c r="C122" s="197">
        <v>623125142</v>
      </c>
      <c r="D122" s="325">
        <v>2516.4962</v>
      </c>
      <c r="E122" s="325">
        <v>2548.0395</v>
      </c>
      <c r="F122" s="175">
        <v>2400</v>
      </c>
      <c r="G122" s="326">
        <f t="shared" si="2"/>
        <v>31.543299999999817</v>
      </c>
      <c r="H122" s="171"/>
      <c r="I122" s="175">
        <f>G122*F122</f>
        <v>75703.91999999956</v>
      </c>
      <c r="J122" s="160"/>
      <c r="K122" s="160"/>
      <c r="L122" s="160"/>
      <c r="M122" s="160"/>
      <c r="N122" s="160"/>
      <c r="O122" s="160"/>
      <c r="P122" s="160"/>
      <c r="Q122" s="160"/>
      <c r="R122" s="16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02"/>
      <c r="AU122" s="150"/>
      <c r="AV122" s="150"/>
      <c r="AW122" s="150"/>
      <c r="AX122" s="150"/>
      <c r="AY122" s="151"/>
      <c r="AZ122" s="235"/>
      <c r="BA122" s="199"/>
      <c r="BB122" s="299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</row>
    <row r="123" spans="1:98" ht="12.75">
      <c r="A123" s="144"/>
      <c r="B123" s="144" t="s">
        <v>222</v>
      </c>
      <c r="C123" s="169"/>
      <c r="D123" s="228"/>
      <c r="E123" s="228"/>
      <c r="F123" s="164"/>
      <c r="G123" s="227"/>
      <c r="H123" s="169"/>
      <c r="I123" s="164"/>
      <c r="J123" s="160"/>
      <c r="K123" s="160"/>
      <c r="L123" s="160"/>
      <c r="M123" s="160"/>
      <c r="N123" s="160"/>
      <c r="O123" s="160"/>
      <c r="P123" s="160"/>
      <c r="Q123" s="160"/>
      <c r="R123" s="16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02"/>
      <c r="AU123" s="150"/>
      <c r="AV123" s="150"/>
      <c r="AW123" s="150"/>
      <c r="AX123" s="150"/>
      <c r="AY123" s="151"/>
      <c r="AZ123" s="235"/>
      <c r="BA123" s="199"/>
      <c r="BB123" s="299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</row>
    <row r="124" spans="1:98" ht="12.75">
      <c r="A124" s="143" t="s">
        <v>229</v>
      </c>
      <c r="B124" s="143" t="s">
        <v>240</v>
      </c>
      <c r="C124" s="197">
        <v>623125205</v>
      </c>
      <c r="D124" s="325">
        <v>1980.5102</v>
      </c>
      <c r="E124" s="325">
        <v>2025.5478</v>
      </c>
      <c r="F124" s="175">
        <v>1800</v>
      </c>
      <c r="G124" s="326">
        <f t="shared" si="2"/>
        <v>45.03760000000011</v>
      </c>
      <c r="H124" s="171"/>
      <c r="I124" s="175">
        <f>G124*F124</f>
        <v>81067.6800000002</v>
      </c>
      <c r="J124" s="160"/>
      <c r="K124" s="160"/>
      <c r="L124" s="160"/>
      <c r="M124" s="160"/>
      <c r="N124" s="160"/>
      <c r="O124" s="160"/>
      <c r="P124" s="160"/>
      <c r="Q124" s="160"/>
      <c r="R124" s="16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02"/>
      <c r="AU124" s="150"/>
      <c r="AV124" s="150"/>
      <c r="AW124" s="150"/>
      <c r="AX124" s="150"/>
      <c r="AY124" s="151"/>
      <c r="AZ124" s="235"/>
      <c r="BA124" s="199"/>
      <c r="BB124" s="299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</row>
    <row r="125" spans="1:98" ht="12.75">
      <c r="A125" s="144"/>
      <c r="B125" s="144" t="s">
        <v>222</v>
      </c>
      <c r="C125" s="169"/>
      <c r="D125" s="228"/>
      <c r="E125" s="228"/>
      <c r="F125" s="164"/>
      <c r="G125" s="227"/>
      <c r="H125" s="169"/>
      <c r="I125" s="164"/>
      <c r="J125" s="160"/>
      <c r="K125" s="160"/>
      <c r="L125" s="160"/>
      <c r="M125" s="160"/>
      <c r="N125" s="160"/>
      <c r="O125" s="160"/>
      <c r="P125" s="160"/>
      <c r="Q125" s="160"/>
      <c r="R125" s="16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02"/>
      <c r="AU125" s="150"/>
      <c r="AV125" s="150"/>
      <c r="AW125" s="150"/>
      <c r="AX125" s="150"/>
      <c r="AY125" s="151"/>
      <c r="AZ125" s="235"/>
      <c r="BA125" s="199"/>
      <c r="BB125" s="299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</row>
    <row r="126" spans="1:98" ht="12.75">
      <c r="A126" s="143" t="s">
        <v>230</v>
      </c>
      <c r="B126" s="143" t="s">
        <v>241</v>
      </c>
      <c r="C126" s="197">
        <v>623123704</v>
      </c>
      <c r="D126" s="325">
        <v>2427.1508</v>
      </c>
      <c r="E126" s="325">
        <v>2468.9964</v>
      </c>
      <c r="F126" s="175">
        <v>1800</v>
      </c>
      <c r="G126" s="326">
        <f t="shared" si="2"/>
        <v>41.845600000000104</v>
      </c>
      <c r="H126" s="171"/>
      <c r="I126" s="175">
        <f>G126*F126</f>
        <v>75322.08000000019</v>
      </c>
      <c r="J126" s="160"/>
      <c r="K126" s="160"/>
      <c r="L126" s="160"/>
      <c r="M126" s="160"/>
      <c r="N126" s="160"/>
      <c r="O126" s="160"/>
      <c r="P126" s="160"/>
      <c r="Q126" s="160"/>
      <c r="R126" s="16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02"/>
      <c r="AU126" s="150"/>
      <c r="AV126" s="219"/>
      <c r="AW126" s="219"/>
      <c r="AX126" s="150"/>
      <c r="AY126" s="151"/>
      <c r="AZ126" s="235"/>
      <c r="BA126" s="199"/>
      <c r="BB126" s="299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</row>
    <row r="127" spans="1:98" ht="12.75">
      <c r="A127" s="144"/>
      <c r="B127" s="144" t="s">
        <v>222</v>
      </c>
      <c r="C127" s="169"/>
      <c r="D127" s="228"/>
      <c r="E127" s="228"/>
      <c r="F127" s="164"/>
      <c r="G127" s="227"/>
      <c r="H127" s="169"/>
      <c r="I127" s="164"/>
      <c r="J127" s="160"/>
      <c r="K127" s="160"/>
      <c r="L127" s="160"/>
      <c r="M127" s="160"/>
      <c r="N127" s="160"/>
      <c r="O127" s="160"/>
      <c r="P127" s="160"/>
      <c r="Q127" s="160"/>
      <c r="R127" s="16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60"/>
      <c r="AU127" s="120"/>
      <c r="AV127" s="120"/>
      <c r="AW127" s="120"/>
      <c r="AX127" s="120"/>
      <c r="AY127" s="120"/>
      <c r="AZ127" s="274"/>
      <c r="BA127" s="120"/>
      <c r="BB127" s="120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</row>
    <row r="128" spans="1:98" ht="12.75">
      <c r="A128" s="143" t="s">
        <v>231</v>
      </c>
      <c r="B128" s="143" t="s">
        <v>242</v>
      </c>
      <c r="C128" s="197">
        <v>623125794</v>
      </c>
      <c r="D128" s="325">
        <v>106.9098</v>
      </c>
      <c r="E128" s="325">
        <v>120.2821</v>
      </c>
      <c r="F128" s="175">
        <v>1800</v>
      </c>
      <c r="G128" s="326">
        <f>E128-D128</f>
        <v>13.372299999999996</v>
      </c>
      <c r="H128" s="171"/>
      <c r="I128" s="175">
        <f>G128*F128</f>
        <v>24070.139999999992</v>
      </c>
      <c r="J128" s="160"/>
      <c r="K128" s="160"/>
      <c r="L128" s="160"/>
      <c r="M128" s="160"/>
      <c r="N128" s="160"/>
      <c r="O128" s="160"/>
      <c r="P128" s="160"/>
      <c r="Q128" s="160"/>
      <c r="R128" s="16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60"/>
      <c r="AU128" s="120"/>
      <c r="AV128" s="120"/>
      <c r="AW128" s="120"/>
      <c r="AX128" s="120"/>
      <c r="AY128" s="120"/>
      <c r="AZ128" s="274"/>
      <c r="BA128" s="120"/>
      <c r="BB128" s="120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</row>
    <row r="129" spans="1:98" ht="12.75">
      <c r="A129" s="144"/>
      <c r="B129" s="144" t="s">
        <v>222</v>
      </c>
      <c r="C129" s="169"/>
      <c r="D129" s="228"/>
      <c r="E129" s="228"/>
      <c r="F129" s="164"/>
      <c r="G129" s="227"/>
      <c r="H129" s="169"/>
      <c r="I129" s="164"/>
      <c r="J129" s="160"/>
      <c r="K129" s="160"/>
      <c r="L129" s="160"/>
      <c r="M129" s="160"/>
      <c r="N129" s="160"/>
      <c r="O129" s="160"/>
      <c r="P129" s="160"/>
      <c r="Q129" s="160"/>
      <c r="R129" s="16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60"/>
      <c r="AU129" s="120"/>
      <c r="AV129" s="120"/>
      <c r="AW129" s="120"/>
      <c r="AX129" s="120"/>
      <c r="AY129" s="120"/>
      <c r="AZ129" s="274"/>
      <c r="BA129" s="120"/>
      <c r="BB129" s="120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</row>
    <row r="130" spans="1:98" ht="12.75">
      <c r="A130" s="143" t="s">
        <v>232</v>
      </c>
      <c r="B130" s="143" t="s">
        <v>243</v>
      </c>
      <c r="C130" s="197">
        <v>623125736</v>
      </c>
      <c r="D130" s="325">
        <v>2986.3394</v>
      </c>
      <c r="E130" s="325">
        <v>3028.7252</v>
      </c>
      <c r="F130" s="175">
        <v>1200</v>
      </c>
      <c r="G130" s="326">
        <f t="shared" si="2"/>
        <v>42.38580000000002</v>
      </c>
      <c r="H130" s="171"/>
      <c r="I130" s="175">
        <f>G130*F130</f>
        <v>50862.96000000002</v>
      </c>
      <c r="J130" s="160"/>
      <c r="K130" s="160"/>
      <c r="L130" s="160"/>
      <c r="M130" s="160"/>
      <c r="N130" s="160"/>
      <c r="O130" s="160"/>
      <c r="P130" s="160"/>
      <c r="Q130" s="160"/>
      <c r="R130" s="16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60"/>
      <c r="AU130" s="120"/>
      <c r="AV130" s="120"/>
      <c r="AW130" s="120"/>
      <c r="AX130" s="120"/>
      <c r="AY130" s="120"/>
      <c r="AZ130" s="274"/>
      <c r="BA130" s="120"/>
      <c r="BB130" s="120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</row>
    <row r="131" spans="1:98" ht="12.75">
      <c r="A131" s="144"/>
      <c r="B131" s="144" t="s">
        <v>222</v>
      </c>
      <c r="C131" s="168"/>
      <c r="D131" s="228"/>
      <c r="E131" s="228"/>
      <c r="F131" s="164"/>
      <c r="G131" s="227"/>
      <c r="H131" s="169"/>
      <c r="I131" s="164"/>
      <c r="J131" s="160"/>
      <c r="K131" s="160"/>
      <c r="L131" s="160"/>
      <c r="M131" s="160"/>
      <c r="N131" s="160"/>
      <c r="O131" s="160"/>
      <c r="P131" s="160"/>
      <c r="Q131" s="160"/>
      <c r="R131" s="16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60"/>
      <c r="AU131" s="120" t="s">
        <v>9</v>
      </c>
      <c r="AV131" s="120"/>
      <c r="AW131" s="120"/>
      <c r="AX131" s="120"/>
      <c r="AY131" s="120"/>
      <c r="AZ131" s="301">
        <f>AZ9</f>
        <v>6405454</v>
      </c>
      <c r="BA131" s="120"/>
      <c r="BB131" s="275">
        <f>SUM(BB93:BB96)+BB103+BB109+SUM(BB112:BB126)</f>
        <v>20862993.70078</v>
      </c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</row>
    <row r="132" spans="1:98" ht="12.75">
      <c r="A132" s="143" t="s">
        <v>233</v>
      </c>
      <c r="B132" s="145" t="s">
        <v>234</v>
      </c>
      <c r="C132" s="197">
        <v>1110171156</v>
      </c>
      <c r="D132" s="325">
        <v>1453.5528</v>
      </c>
      <c r="E132" s="325">
        <v>1528.1128</v>
      </c>
      <c r="F132" s="175">
        <v>40</v>
      </c>
      <c r="G132" s="326">
        <f t="shared" si="2"/>
        <v>74.56000000000017</v>
      </c>
      <c r="H132" s="171"/>
      <c r="I132" s="175">
        <f>G132*F132</f>
        <v>2982.400000000007</v>
      </c>
      <c r="J132" s="160"/>
      <c r="K132" s="160"/>
      <c r="L132" s="160"/>
      <c r="M132" s="160"/>
      <c r="N132" s="160"/>
      <c r="O132" s="160"/>
      <c r="P132" s="160"/>
      <c r="Q132" s="160"/>
      <c r="R132" s="16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60"/>
      <c r="AU132" s="120"/>
      <c r="AV132" s="120"/>
      <c r="AW132" s="120"/>
      <c r="AX132" s="120"/>
      <c r="AY132" s="120"/>
      <c r="AZ132" s="274"/>
      <c r="BA132" s="120"/>
      <c r="BB132" s="120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</row>
    <row r="133" spans="1:98" ht="12.75">
      <c r="A133" s="144"/>
      <c r="B133" s="103" t="s">
        <v>222</v>
      </c>
      <c r="C133" s="169"/>
      <c r="D133" s="379"/>
      <c r="E133" s="228"/>
      <c r="F133" s="164"/>
      <c r="G133" s="229"/>
      <c r="H133" s="169"/>
      <c r="I133" s="164"/>
      <c r="J133" s="160"/>
      <c r="K133" s="160"/>
      <c r="L133" s="160"/>
      <c r="M133" s="160"/>
      <c r="N133" s="160"/>
      <c r="O133" s="160"/>
      <c r="P133" s="160"/>
      <c r="Q133" s="160"/>
      <c r="R133" s="16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60"/>
      <c r="AU133" s="120"/>
      <c r="AV133" s="120"/>
      <c r="AW133" s="120"/>
      <c r="AX133" s="120"/>
      <c r="AY133" s="120"/>
      <c r="AZ133" s="120"/>
      <c r="BA133" s="120"/>
      <c r="BB133" s="120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</row>
    <row r="134" spans="1:98" ht="12.75">
      <c r="A134" s="201"/>
      <c r="B134" s="150"/>
      <c r="C134" s="191"/>
      <c r="D134" s="199"/>
      <c r="E134" s="200"/>
      <c r="F134" s="200"/>
      <c r="G134" s="215" t="s">
        <v>244</v>
      </c>
      <c r="H134" s="151"/>
      <c r="I134" s="235">
        <f>SUM(I112:I133)+I107</f>
        <v>1891855.3599999943</v>
      </c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60" t="s">
        <v>608</v>
      </c>
      <c r="AU134" s="120"/>
      <c r="AV134" s="120"/>
      <c r="AW134" s="120"/>
      <c r="AX134" s="120"/>
      <c r="AY134" s="120"/>
      <c r="AZ134" s="120"/>
      <c r="BA134" s="120"/>
      <c r="BB134" s="120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</row>
    <row r="135" spans="1:98" ht="12.75">
      <c r="A135" s="143" t="s">
        <v>247</v>
      </c>
      <c r="B135" s="145" t="s">
        <v>245</v>
      </c>
      <c r="C135" s="202"/>
      <c r="D135" s="202"/>
      <c r="E135" s="203"/>
      <c r="F135" s="203"/>
      <c r="G135" s="204"/>
      <c r="H135" s="146"/>
      <c r="I135" s="205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60"/>
      <c r="AU135" s="120"/>
      <c r="AV135" s="120"/>
      <c r="AW135" s="120"/>
      <c r="AX135" s="120"/>
      <c r="AY135" s="120"/>
      <c r="AZ135" s="120"/>
      <c r="BA135" s="120"/>
      <c r="BB135" s="120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</row>
    <row r="136" spans="1:98" ht="12.75">
      <c r="A136" s="173"/>
      <c r="B136" s="159" t="s">
        <v>246</v>
      </c>
      <c r="C136" s="206"/>
      <c r="D136" s="191"/>
      <c r="E136" s="207"/>
      <c r="F136" s="207"/>
      <c r="G136" s="208"/>
      <c r="H136" s="148"/>
      <c r="I136" s="209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60" t="s">
        <v>143</v>
      </c>
      <c r="AU136" s="120"/>
      <c r="AV136" s="120"/>
      <c r="AW136" s="120"/>
      <c r="AX136" s="120"/>
      <c r="AY136" s="120"/>
      <c r="AZ136" s="120"/>
      <c r="BA136" s="120"/>
      <c r="BB136" s="120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</row>
    <row r="137" spans="1:98" ht="12.75">
      <c r="A137" s="145" t="s">
        <v>248</v>
      </c>
      <c r="B137" s="143" t="s">
        <v>489</v>
      </c>
      <c r="C137" s="304"/>
      <c r="D137" s="211"/>
      <c r="E137" s="211"/>
      <c r="F137" s="155"/>
      <c r="G137" s="212"/>
      <c r="H137" s="152"/>
      <c r="I137" s="155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60"/>
      <c r="AU137" s="120"/>
      <c r="AV137" s="120"/>
      <c r="AW137" s="120"/>
      <c r="AX137" s="120"/>
      <c r="AY137" s="120"/>
      <c r="AZ137" s="120"/>
      <c r="BA137" s="120"/>
      <c r="BB137" s="120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</row>
    <row r="138" spans="1:98" ht="12.75">
      <c r="A138" s="159"/>
      <c r="B138" s="173"/>
      <c r="C138" s="305">
        <v>611127627</v>
      </c>
      <c r="D138" s="302">
        <v>2537.1956</v>
      </c>
      <c r="E138" s="302">
        <v>2560.888</v>
      </c>
      <c r="F138" s="155">
        <v>40</v>
      </c>
      <c r="G138" s="252">
        <f>E138-D138</f>
        <v>23.692399999999907</v>
      </c>
      <c r="H138" s="155"/>
      <c r="I138" s="155">
        <f>ROUND(F138*G138+H138,0)</f>
        <v>948</v>
      </c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60"/>
      <c r="AU138" s="120"/>
      <c r="AV138" s="120"/>
      <c r="AW138" s="120"/>
      <c r="AX138" s="120"/>
      <c r="AY138" s="120"/>
      <c r="AZ138" s="120"/>
      <c r="BA138" s="120"/>
      <c r="BB138" s="120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</row>
    <row r="139" spans="1:98" ht="12.75">
      <c r="A139" s="159"/>
      <c r="B139" s="144" t="s">
        <v>467</v>
      </c>
      <c r="C139" s="305"/>
      <c r="D139" s="306"/>
      <c r="E139" s="306"/>
      <c r="F139" s="155"/>
      <c r="G139" s="212"/>
      <c r="H139" s="155"/>
      <c r="I139" s="155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</row>
    <row r="140" spans="1:98" ht="12.75">
      <c r="A140" s="143" t="s">
        <v>251</v>
      </c>
      <c r="B140" s="161"/>
      <c r="C140" s="213">
        <v>810120245</v>
      </c>
      <c r="D140" s="302">
        <v>1340.9403</v>
      </c>
      <c r="E140" s="302">
        <v>1341.237</v>
      </c>
      <c r="F140" s="155">
        <v>3600</v>
      </c>
      <c r="G140" s="252">
        <f aca="true" t="shared" si="3" ref="G140:G145">E140-D140</f>
        <v>0.29670000000010077</v>
      </c>
      <c r="H140" s="155"/>
      <c r="I140" s="155">
        <f aca="true" t="shared" si="4" ref="I140:I145">ROUND(F140*G140+H140,0)</f>
        <v>1068</v>
      </c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</row>
    <row r="141" spans="1:98" ht="12.75">
      <c r="A141" s="173"/>
      <c r="B141" s="161" t="s">
        <v>495</v>
      </c>
      <c r="C141" s="213"/>
      <c r="D141" s="302"/>
      <c r="E141" s="302"/>
      <c r="F141" s="155"/>
      <c r="G141" s="252"/>
      <c r="H141" s="96"/>
      <c r="I141" s="155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</row>
    <row r="142" spans="1:98" ht="12.75">
      <c r="A142" s="173"/>
      <c r="B142" s="161"/>
      <c r="C142" s="210">
        <v>4050284</v>
      </c>
      <c r="D142" s="230">
        <v>4266.558</v>
      </c>
      <c r="E142" s="230">
        <v>4289.9164</v>
      </c>
      <c r="F142" s="155">
        <v>3600</v>
      </c>
      <c r="G142" s="253">
        <f t="shared" si="3"/>
        <v>23.358400000000074</v>
      </c>
      <c r="H142" s="96"/>
      <c r="I142" s="155">
        <f t="shared" si="4"/>
        <v>84090</v>
      </c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</row>
    <row r="143" spans="1:98" ht="12.75">
      <c r="A143" s="144"/>
      <c r="B143" s="149"/>
      <c r="C143" s="210"/>
      <c r="D143" s="230"/>
      <c r="E143" s="230"/>
      <c r="F143" s="155"/>
      <c r="G143" s="253"/>
      <c r="H143" s="96"/>
      <c r="I143" s="155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</row>
    <row r="144" spans="1:98" ht="12.75">
      <c r="A144" s="173" t="s">
        <v>252</v>
      </c>
      <c r="B144" s="143" t="s">
        <v>218</v>
      </c>
      <c r="C144" s="152"/>
      <c r="D144" s="211"/>
      <c r="E144" s="211"/>
      <c r="F144" s="155"/>
      <c r="G144" s="212"/>
      <c r="H144" s="96"/>
      <c r="I144" s="155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</row>
    <row r="145" spans="1:98" ht="12.75">
      <c r="A145" s="307"/>
      <c r="B145" s="173" t="s">
        <v>217</v>
      </c>
      <c r="C145" s="305">
        <v>611127492</v>
      </c>
      <c r="D145" s="302">
        <v>5937.8404</v>
      </c>
      <c r="E145" s="302">
        <v>6003.968</v>
      </c>
      <c r="F145" s="155">
        <v>20</v>
      </c>
      <c r="G145" s="252">
        <f t="shared" si="3"/>
        <v>66.1275999999998</v>
      </c>
      <c r="H145" s="155"/>
      <c r="I145" s="155">
        <f t="shared" si="4"/>
        <v>1323</v>
      </c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</row>
    <row r="146" spans="1:98" ht="12.75">
      <c r="A146" s="145" t="s">
        <v>253</v>
      </c>
      <c r="B146" s="143" t="s">
        <v>490</v>
      </c>
      <c r="C146" s="309"/>
      <c r="D146" s="211"/>
      <c r="E146" s="211"/>
      <c r="F146" s="155"/>
      <c r="G146" s="212"/>
      <c r="H146" s="96"/>
      <c r="I146" s="155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</row>
    <row r="147" spans="1:98" ht="12.75">
      <c r="A147" s="308"/>
      <c r="B147" s="168" t="s">
        <v>546</v>
      </c>
      <c r="C147" s="305">
        <v>611127702</v>
      </c>
      <c r="D147" s="302">
        <v>6984.6072</v>
      </c>
      <c r="E147" s="302">
        <v>7007.0476</v>
      </c>
      <c r="F147" s="155">
        <v>60</v>
      </c>
      <c r="G147" s="252">
        <f>E147-D147</f>
        <v>22.4403999999995</v>
      </c>
      <c r="H147" s="96"/>
      <c r="I147" s="155">
        <f>ROUND(F147*G147+H147,0)</f>
        <v>1346</v>
      </c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</row>
    <row r="148" spans="1:98" ht="12.75">
      <c r="A148" s="159"/>
      <c r="B148" s="168" t="s">
        <v>547</v>
      </c>
      <c r="C148" s="305">
        <v>611127555</v>
      </c>
      <c r="D148" s="302">
        <v>1918.5036</v>
      </c>
      <c r="E148" s="302">
        <v>2052.3356</v>
      </c>
      <c r="F148" s="155">
        <v>60</v>
      </c>
      <c r="G148" s="252">
        <f>E148-D148</f>
        <v>133.83199999999988</v>
      </c>
      <c r="H148" s="96"/>
      <c r="I148" s="155">
        <f>ROUND(F148*G148+H148,0)</f>
        <v>8030</v>
      </c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</row>
    <row r="149" spans="1:98" ht="12.75">
      <c r="A149" s="145" t="s">
        <v>258</v>
      </c>
      <c r="B149" s="143" t="s">
        <v>491</v>
      </c>
      <c r="C149" s="310"/>
      <c r="D149" s="232"/>
      <c r="E149" s="232"/>
      <c r="F149" s="155"/>
      <c r="G149" s="212"/>
      <c r="H149" s="96"/>
      <c r="I149" s="155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</row>
    <row r="150" spans="1:98" ht="12.75">
      <c r="A150" s="308"/>
      <c r="B150" s="173"/>
      <c r="C150" s="305">
        <v>1110171163</v>
      </c>
      <c r="D150" s="230">
        <v>525.1676</v>
      </c>
      <c r="E150" s="230">
        <v>582.7704</v>
      </c>
      <c r="F150" s="155">
        <v>60</v>
      </c>
      <c r="G150" s="252">
        <f>E150-D150</f>
        <v>57.6028</v>
      </c>
      <c r="H150" s="96"/>
      <c r="I150" s="155">
        <f>ROUND(F150*G150+H150,0)</f>
        <v>3456</v>
      </c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</row>
    <row r="151" spans="1:98" ht="12.75">
      <c r="A151" s="159"/>
      <c r="B151" s="173"/>
      <c r="C151" s="305"/>
      <c r="D151" s="211"/>
      <c r="E151" s="211"/>
      <c r="F151" s="155"/>
      <c r="G151" s="212"/>
      <c r="H151" s="96"/>
      <c r="I151" s="155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</row>
    <row r="152" spans="1:98" ht="12.75">
      <c r="A152" s="145" t="s">
        <v>260</v>
      </c>
      <c r="B152" s="143" t="s">
        <v>492</v>
      </c>
      <c r="C152" s="311"/>
      <c r="D152" s="232"/>
      <c r="E152" s="232"/>
      <c r="F152" s="155"/>
      <c r="G152" s="212"/>
      <c r="H152" s="96"/>
      <c r="I152" s="155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</row>
    <row r="153" spans="1:98" ht="12.75">
      <c r="A153" s="159"/>
      <c r="B153" s="173"/>
      <c r="C153" s="305">
        <v>1110171170</v>
      </c>
      <c r="D153" s="302">
        <v>194.9884</v>
      </c>
      <c r="E153" s="302">
        <v>200.052</v>
      </c>
      <c r="F153" s="155">
        <v>40</v>
      </c>
      <c r="G153" s="252">
        <f>E153-D153</f>
        <v>5.06359999999998</v>
      </c>
      <c r="H153" s="155"/>
      <c r="I153" s="155">
        <f>ROUND(F153*G153+H153,0)</f>
        <v>203</v>
      </c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</row>
    <row r="154" spans="1:98" ht="12.75">
      <c r="A154" s="159"/>
      <c r="B154" s="173"/>
      <c r="C154" s="305"/>
      <c r="D154" s="306"/>
      <c r="E154" s="306"/>
      <c r="F154" s="155"/>
      <c r="G154" s="212"/>
      <c r="H154" s="155"/>
      <c r="I154" s="155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</row>
    <row r="155" spans="1:98" ht="12.75">
      <c r="A155" s="143" t="s">
        <v>261</v>
      </c>
      <c r="B155" s="147" t="s">
        <v>541</v>
      </c>
      <c r="C155" s="305">
        <v>611126342</v>
      </c>
      <c r="D155" s="302">
        <v>6059.7548</v>
      </c>
      <c r="E155" s="302">
        <v>6059.7548</v>
      </c>
      <c r="F155" s="155">
        <v>1800</v>
      </c>
      <c r="G155" s="252">
        <f>E155-D155</f>
        <v>0</v>
      </c>
      <c r="H155" s="155"/>
      <c r="I155" s="155">
        <f>ROUND(F155*G155+H155,0)</f>
        <v>0</v>
      </c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</row>
    <row r="156" spans="1:98" ht="12.75">
      <c r="A156" s="173"/>
      <c r="B156" s="161" t="s">
        <v>469</v>
      </c>
      <c r="C156" s="305">
        <v>611126404</v>
      </c>
      <c r="D156" s="302">
        <v>883.5888</v>
      </c>
      <c r="E156" s="302">
        <v>895.4243</v>
      </c>
      <c r="F156" s="155">
        <v>1800</v>
      </c>
      <c r="G156" s="252">
        <f>E156-D156</f>
        <v>11.835500000000025</v>
      </c>
      <c r="H156" s="155"/>
      <c r="I156" s="155">
        <f>ROUND(F156*G156+H156,0)</f>
        <v>21304</v>
      </c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</row>
    <row r="157" spans="1:98" ht="12.75">
      <c r="A157" s="144"/>
      <c r="B157" s="149" t="s">
        <v>509</v>
      </c>
      <c r="C157" s="305">
        <v>611126334</v>
      </c>
      <c r="D157" s="302">
        <v>0.1356</v>
      </c>
      <c r="E157" s="302">
        <v>0.1356</v>
      </c>
      <c r="F157" s="155">
        <v>1800</v>
      </c>
      <c r="G157" s="252">
        <f>E157-D157</f>
        <v>0</v>
      </c>
      <c r="H157" s="96"/>
      <c r="I157" s="155">
        <f>ROUND(F157*G157+H157,0)</f>
        <v>0</v>
      </c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</row>
    <row r="158" spans="1:98" ht="12.75">
      <c r="A158" s="159" t="s">
        <v>477</v>
      </c>
      <c r="B158" s="143" t="s">
        <v>493</v>
      </c>
      <c r="C158" s="305">
        <v>611127724</v>
      </c>
      <c r="D158" s="302">
        <v>656.2832</v>
      </c>
      <c r="E158" s="302">
        <v>666.4916</v>
      </c>
      <c r="F158" s="155">
        <v>30</v>
      </c>
      <c r="G158" s="252">
        <f>E158-D158</f>
        <v>10.208399999999983</v>
      </c>
      <c r="H158" s="155"/>
      <c r="I158" s="155">
        <f>ROUND(F158*G158+H158,0)</f>
        <v>306</v>
      </c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</row>
    <row r="159" spans="1:98" ht="12.75">
      <c r="A159" s="103"/>
      <c r="B159" s="173" t="s">
        <v>540</v>
      </c>
      <c r="C159" s="305"/>
      <c r="D159" s="306"/>
      <c r="E159" s="306"/>
      <c r="F159" s="155"/>
      <c r="G159" s="212"/>
      <c r="H159" s="155"/>
      <c r="I159" s="155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</row>
    <row r="160" spans="1:98" ht="12.75">
      <c r="A160" s="96"/>
      <c r="B160" s="312"/>
      <c r="C160" s="171"/>
      <c r="D160" s="306"/>
      <c r="E160" s="306"/>
      <c r="F160" s="155"/>
      <c r="G160" s="212"/>
      <c r="H160" s="155"/>
      <c r="I160" s="155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</row>
    <row r="161" spans="1:98" ht="12.75">
      <c r="A161" s="103"/>
      <c r="B161" s="148"/>
      <c r="C161" s="150"/>
      <c r="D161" s="150"/>
      <c r="E161" s="150"/>
      <c r="F161" s="150" t="s">
        <v>264</v>
      </c>
      <c r="G161" s="150"/>
      <c r="H161" s="151"/>
      <c r="I161" s="235">
        <f>SUM(I137:I159)-I160</f>
        <v>122074</v>
      </c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</row>
    <row r="162" spans="1:98" ht="12.75">
      <c r="A162" s="102"/>
      <c r="B162" s="150"/>
      <c r="C162" s="150"/>
      <c r="D162" s="150"/>
      <c r="E162" s="150"/>
      <c r="F162" s="150"/>
      <c r="G162" s="150" t="s">
        <v>265</v>
      </c>
      <c r="H162" s="151"/>
      <c r="I162" s="235">
        <f>I103+I104+I107+I108+I109+I110-I134-I161</f>
        <v>3379335.64</v>
      </c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</row>
    <row r="163" spans="1:98" ht="12.75">
      <c r="A163" s="96" t="s">
        <v>272</v>
      </c>
      <c r="B163" s="102" t="s">
        <v>266</v>
      </c>
      <c r="C163" s="150"/>
      <c r="D163" s="150"/>
      <c r="E163" s="150"/>
      <c r="F163" s="150"/>
      <c r="G163" s="150"/>
      <c r="H163" s="150"/>
      <c r="I163" s="151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</row>
    <row r="164" spans="1:98" ht="12.75">
      <c r="A164" s="143" t="s">
        <v>270</v>
      </c>
      <c r="B164" s="143" t="s">
        <v>267</v>
      </c>
      <c r="C164" s="171">
        <v>18705639</v>
      </c>
      <c r="D164" s="321">
        <v>38</v>
      </c>
      <c r="E164" s="321">
        <v>38</v>
      </c>
      <c r="F164" s="175">
        <v>30</v>
      </c>
      <c r="G164" s="322">
        <f>E164-D164</f>
        <v>0</v>
      </c>
      <c r="H164" s="143"/>
      <c r="I164" s="175">
        <f>F164*G164+H164</f>
        <v>0</v>
      </c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</row>
    <row r="165" spans="1:98" ht="12.75">
      <c r="A165" s="144"/>
      <c r="B165" s="144" t="s">
        <v>268</v>
      </c>
      <c r="C165" s="169"/>
      <c r="D165" s="144"/>
      <c r="E165" s="144"/>
      <c r="F165" s="164"/>
      <c r="G165" s="144"/>
      <c r="H165" s="144"/>
      <c r="I165" s="144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</row>
    <row r="166" spans="1:98" ht="12.75">
      <c r="A166" s="143" t="s">
        <v>271</v>
      </c>
      <c r="B166" s="143" t="s">
        <v>269</v>
      </c>
      <c r="C166" s="171">
        <v>18705843</v>
      </c>
      <c r="D166" s="321">
        <v>204.4</v>
      </c>
      <c r="E166" s="321">
        <v>204.4</v>
      </c>
      <c r="F166" s="175">
        <v>30</v>
      </c>
      <c r="G166" s="233">
        <f>E166-D166</f>
        <v>0</v>
      </c>
      <c r="H166" s="143"/>
      <c r="I166" s="175">
        <f>F166*G166+H166</f>
        <v>0</v>
      </c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</row>
    <row r="167" spans="1:98" ht="12.75">
      <c r="A167" s="144"/>
      <c r="B167" s="144" t="s">
        <v>268</v>
      </c>
      <c r="C167" s="169"/>
      <c r="D167" s="144"/>
      <c r="E167" s="144"/>
      <c r="F167" s="164"/>
      <c r="G167" s="144"/>
      <c r="H167" s="144"/>
      <c r="I167" s="144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</row>
    <row r="168" spans="1:98" ht="12.75">
      <c r="A168" s="102"/>
      <c r="B168" s="150"/>
      <c r="C168" s="217"/>
      <c r="D168" s="199"/>
      <c r="E168" s="218"/>
      <c r="F168" s="218" t="s">
        <v>273</v>
      </c>
      <c r="G168" s="219"/>
      <c r="H168" s="151"/>
      <c r="I168" s="155">
        <f>I164+I166</f>
        <v>0</v>
      </c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</row>
    <row r="169" spans="1:98" ht="12.75">
      <c r="A169" s="102"/>
      <c r="B169" s="150"/>
      <c r="C169" s="217"/>
      <c r="D169" s="199"/>
      <c r="E169" s="218"/>
      <c r="F169" s="218"/>
      <c r="G169" s="219" t="s">
        <v>274</v>
      </c>
      <c r="H169" s="151"/>
      <c r="I169" s="235">
        <f>I162+I168</f>
        <v>3379335.64</v>
      </c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</row>
    <row r="170" spans="1:98" ht="12.75">
      <c r="A170" s="145" t="s">
        <v>275</v>
      </c>
      <c r="B170" s="146"/>
      <c r="C170" s="220"/>
      <c r="D170" s="202"/>
      <c r="E170" s="221"/>
      <c r="F170" s="221"/>
      <c r="G170" s="204"/>
      <c r="H170" s="146"/>
      <c r="I170" s="205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</row>
    <row r="171" spans="1:98" ht="12.75">
      <c r="A171" s="222" t="s">
        <v>538</v>
      </c>
      <c r="B171" s="223"/>
      <c r="C171" s="223"/>
      <c r="D171" s="191"/>
      <c r="E171" s="148"/>
      <c r="F171" s="148"/>
      <c r="G171" s="148"/>
      <c r="H171" s="148"/>
      <c r="I171" s="209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</row>
    <row r="172" spans="1:98" ht="12.75">
      <c r="A172" s="160" t="s">
        <v>279</v>
      </c>
      <c r="B172" s="160"/>
      <c r="C172" s="264"/>
      <c r="D172" s="181"/>
      <c r="E172" s="265"/>
      <c r="F172" s="265"/>
      <c r="G172" s="188"/>
      <c r="H172" s="160"/>
      <c r="I172" s="19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</row>
    <row r="173" spans="1:98" ht="12.75">
      <c r="A173" s="160"/>
      <c r="B173" s="160"/>
      <c r="C173" s="181"/>
      <c r="D173" s="313" t="s">
        <v>280</v>
      </c>
      <c r="E173" s="313"/>
      <c r="F173" s="314"/>
      <c r="G173" s="243"/>
      <c r="H173" s="243"/>
      <c r="I173" s="189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</row>
    <row r="174" spans="1:54" ht="12.75">
      <c r="A174" s="160"/>
      <c r="B174" s="160"/>
      <c r="C174" s="181"/>
      <c r="D174" s="313" t="s">
        <v>531</v>
      </c>
      <c r="E174" s="313"/>
      <c r="F174" s="314"/>
      <c r="G174" s="243"/>
      <c r="H174" s="243"/>
      <c r="I174" s="189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</row>
    <row r="175" spans="1:54" ht="12.75">
      <c r="A175" s="160"/>
      <c r="B175" s="160"/>
      <c r="C175" s="264"/>
      <c r="D175" s="313" t="s">
        <v>539</v>
      </c>
      <c r="E175" s="313"/>
      <c r="F175" s="314"/>
      <c r="G175" s="243"/>
      <c r="H175" s="243"/>
      <c r="I175" s="189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</row>
    <row r="176" spans="1:54" ht="12.75">
      <c r="A176" s="160"/>
      <c r="B176" s="160"/>
      <c r="C176" s="160"/>
      <c r="D176" s="160"/>
      <c r="E176" s="160"/>
      <c r="F176" s="160"/>
      <c r="G176" s="160"/>
      <c r="H176" s="160"/>
      <c r="I176" s="16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</row>
    <row r="177" spans="1:54" ht="12.75">
      <c r="A177" s="160"/>
      <c r="B177" s="160"/>
      <c r="C177" s="160"/>
      <c r="D177" s="160"/>
      <c r="E177" s="160"/>
      <c r="F177" s="160"/>
      <c r="G177" s="160"/>
      <c r="H177" s="160"/>
      <c r="I177" s="16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 t="s">
        <v>519</v>
      </c>
      <c r="BA177" s="120"/>
      <c r="BB177" s="120"/>
    </row>
    <row r="178" spans="1:54" ht="12.75">
      <c r="A178" s="160"/>
      <c r="B178" s="160"/>
      <c r="C178" s="315"/>
      <c r="D178" s="316"/>
      <c r="E178" s="316"/>
      <c r="F178" s="180"/>
      <c r="G178" s="317"/>
      <c r="H178" s="160"/>
      <c r="I178" s="18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 t="s">
        <v>513</v>
      </c>
      <c r="BA178" s="120" t="s">
        <v>109</v>
      </c>
      <c r="BB178" s="120"/>
    </row>
    <row r="179" spans="1:54" ht="12.75">
      <c r="A179" s="243"/>
      <c r="B179" s="160"/>
      <c r="C179" s="315"/>
      <c r="D179" s="316"/>
      <c r="E179" s="316"/>
      <c r="F179" s="180"/>
      <c r="G179" s="317"/>
      <c r="H179" s="160"/>
      <c r="I179" s="18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 t="s">
        <v>510</v>
      </c>
      <c r="AZ179" s="301">
        <f>AZ183+AZ184+AZ185</f>
        <v>3010957</v>
      </c>
      <c r="BA179" s="370">
        <f>AZ179*2.9</f>
        <v>8731775.299999999</v>
      </c>
      <c r="BB179" s="120"/>
    </row>
    <row r="180" spans="1:54" ht="12.75">
      <c r="A180" s="160"/>
      <c r="B180" s="160"/>
      <c r="C180" s="160"/>
      <c r="D180" s="160"/>
      <c r="E180" s="160"/>
      <c r="F180" s="160"/>
      <c r="G180" s="160"/>
      <c r="H180" s="160"/>
      <c r="I180" s="16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 t="s">
        <v>511</v>
      </c>
      <c r="AZ180" s="301">
        <f>AZ187-AZ179-AZ181</f>
        <v>3230717</v>
      </c>
      <c r="BA180" s="370">
        <f>AZ180*2.9</f>
        <v>9369079.299999999</v>
      </c>
      <c r="BB180" s="120"/>
    </row>
    <row r="181" spans="1:54" ht="12.75">
      <c r="A181" s="160"/>
      <c r="B181" s="160"/>
      <c r="C181" s="160"/>
      <c r="D181" s="160"/>
      <c r="E181" s="160"/>
      <c r="F181" s="160"/>
      <c r="G181" s="160"/>
      <c r="H181" s="160"/>
      <c r="I181" s="16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 t="s">
        <v>512</v>
      </c>
      <c r="AZ181" s="301">
        <f>AZ186</f>
        <v>163780</v>
      </c>
      <c r="BA181" s="370">
        <f>AZ181*2.9</f>
        <v>474962</v>
      </c>
      <c r="BB181" s="120"/>
    </row>
    <row r="182" spans="52:53" ht="12.75">
      <c r="AZ182" s="368"/>
      <c r="BA182" s="368"/>
    </row>
    <row r="183" spans="51:53" ht="12.75">
      <c r="AY183" s="120" t="s">
        <v>514</v>
      </c>
      <c r="AZ183" s="369">
        <v>2742934</v>
      </c>
      <c r="BA183" s="368"/>
    </row>
    <row r="184" spans="51:53" ht="12.75">
      <c r="AY184" s="120" t="s">
        <v>515</v>
      </c>
      <c r="AZ184" s="369">
        <f>AZ95</f>
        <v>86170</v>
      </c>
      <c r="BA184" s="368"/>
    </row>
    <row r="185" spans="51:53" ht="12.75">
      <c r="AY185" s="120" t="s">
        <v>517</v>
      </c>
      <c r="AZ185" s="369">
        <v>181853</v>
      </c>
      <c r="BA185" s="368"/>
    </row>
    <row r="186" spans="51:53" ht="12.75">
      <c r="AY186" s="120" t="s">
        <v>518</v>
      </c>
      <c r="AZ186" s="369">
        <v>163780</v>
      </c>
      <c r="BA186" s="368"/>
    </row>
    <row r="187" spans="51:52" ht="12.75">
      <c r="AY187" s="120" t="s">
        <v>516</v>
      </c>
      <c r="AZ187" s="369">
        <f>AZ131</f>
        <v>6405454</v>
      </c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 t="s">
        <v>552</v>
      </c>
      <c r="C196" s="4"/>
      <c r="D196" s="380">
        <v>42375.5</v>
      </c>
      <c r="E196" s="380">
        <v>42398</v>
      </c>
      <c r="F196" s="380">
        <v>1800</v>
      </c>
      <c r="G196" s="380">
        <f>E196-D196</f>
        <v>22.5</v>
      </c>
      <c r="H196" s="380"/>
      <c r="I196" s="155">
        <f>ROUND(F196*G196+H196,0)</f>
        <v>40500</v>
      </c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2.75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2.75">
      <c r="A200" s="11"/>
      <c r="B200" s="11"/>
      <c r="C200" s="11"/>
      <c r="D200" s="11"/>
      <c r="E200" s="11"/>
      <c r="F200" s="11"/>
      <c r="G200" s="11"/>
      <c r="H200" s="11"/>
      <c r="I200" s="11"/>
    </row>
  </sheetData>
  <sheetProtection/>
  <printOptions/>
  <pageMargins left="0.7874015748031497" right="0.1968503937007874" top="0.1968503937007874" bottom="0.1968503937007874" header="0.31496062992125984" footer="0.31496062992125984"/>
  <pageSetup fitToHeight="13" fitToWidth="13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B268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25390625" style="0" customWidth="1"/>
    <col min="4" max="5" width="10.875" style="0" customWidth="1"/>
    <col min="6" max="6" width="9.375" style="0" bestFit="1" customWidth="1"/>
    <col min="7" max="7" width="9.25390625" style="0" customWidth="1"/>
    <col min="8" max="8" width="8.875" style="0" customWidth="1"/>
    <col min="9" max="9" width="12.00390625" style="0" customWidth="1"/>
    <col min="10" max="10" width="7.25390625" style="0" customWidth="1"/>
    <col min="11" max="11" width="37.625" style="0" customWidth="1"/>
    <col min="12" max="12" width="15.75390625" style="0" customWidth="1"/>
    <col min="13" max="14" width="11.00390625" style="0" customWidth="1"/>
    <col min="15" max="15" width="8.625" style="0" customWidth="1"/>
    <col min="16" max="16" width="9.625" style="0" customWidth="1"/>
    <col min="17" max="17" width="12.625" style="0" customWidth="1"/>
    <col min="18" max="18" width="12.875" style="0" customWidth="1"/>
    <col min="19" max="19" width="6.625" style="0" customWidth="1"/>
    <col min="21" max="21" width="12.625" style="0" customWidth="1"/>
    <col min="22" max="22" width="20.375" style="0" customWidth="1"/>
    <col min="23" max="23" width="16.75390625" style="0" customWidth="1"/>
    <col min="24" max="24" width="15.875" style="0" customWidth="1"/>
    <col min="25" max="25" width="13.75390625" style="0" customWidth="1"/>
    <col min="26" max="26" width="13.125" style="0" customWidth="1"/>
    <col min="27" max="27" width="14.75390625" style="0" customWidth="1"/>
    <col min="28" max="28" width="6.75390625" style="0" customWidth="1"/>
    <col min="31" max="31" width="26.875" style="0" customWidth="1"/>
    <col min="32" max="32" width="15.25390625" style="0" customWidth="1"/>
    <col min="33" max="33" width="13.875" style="0" customWidth="1"/>
    <col min="34" max="34" width="13.625" style="0" customWidth="1"/>
    <col min="35" max="35" width="13.00390625" style="0" customWidth="1"/>
    <col min="36" max="36" width="13.625" style="0" customWidth="1"/>
    <col min="37" max="37" width="7.00390625" style="0" customWidth="1"/>
    <col min="40" max="40" width="23.125" style="0" customWidth="1"/>
    <col min="41" max="41" width="13.00390625" style="0" customWidth="1"/>
    <col min="42" max="42" width="13.875" style="0" customWidth="1"/>
    <col min="43" max="43" width="13.625" style="0" customWidth="1"/>
    <col min="44" max="44" width="13.875" style="0" customWidth="1"/>
    <col min="45" max="45" width="15.00390625" style="0" customWidth="1"/>
    <col min="51" max="51" width="26.75390625" style="0" customWidth="1"/>
    <col min="52" max="52" width="14.875" style="0" customWidth="1"/>
    <col min="53" max="53" width="14.75390625" style="0" customWidth="1"/>
    <col min="54" max="54" width="16.375" style="0" customWidth="1"/>
  </cols>
  <sheetData>
    <row r="1" spans="1:54" ht="12.7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60"/>
      <c r="T1" s="160"/>
      <c r="U1" s="160"/>
      <c r="V1" s="160"/>
      <c r="W1" s="160"/>
      <c r="X1" s="160"/>
      <c r="Y1" s="160"/>
      <c r="Z1" s="160"/>
      <c r="AA1" s="16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60"/>
      <c r="AU1" s="120"/>
      <c r="AV1" s="120"/>
      <c r="AW1" s="120"/>
      <c r="AX1" s="120"/>
      <c r="AY1" s="120"/>
      <c r="AZ1" s="120"/>
      <c r="BA1" s="120"/>
      <c r="BB1" s="120"/>
    </row>
    <row r="2" spans="1:54" ht="12.75" customHeight="1">
      <c r="A2" s="120"/>
      <c r="B2" s="120"/>
      <c r="C2" s="120"/>
      <c r="D2" s="120" t="s">
        <v>192</v>
      </c>
      <c r="E2" s="120"/>
      <c r="F2" s="120"/>
      <c r="G2" s="120"/>
      <c r="H2" s="120"/>
      <c r="I2" s="120"/>
      <c r="J2" s="120"/>
      <c r="K2" s="120"/>
      <c r="L2" s="120"/>
      <c r="M2" s="120" t="s">
        <v>288</v>
      </c>
      <c r="N2" s="120"/>
      <c r="O2" s="120"/>
      <c r="P2" s="120"/>
      <c r="Q2" s="120"/>
      <c r="R2" s="120"/>
      <c r="S2" s="160"/>
      <c r="T2" s="160"/>
      <c r="U2" s="160"/>
      <c r="V2" s="160"/>
      <c r="W2" s="160"/>
      <c r="X2" s="160"/>
      <c r="Y2" s="160"/>
      <c r="Z2" s="160"/>
      <c r="AA2" s="160"/>
      <c r="AB2" s="120" t="s">
        <v>325</v>
      </c>
      <c r="AC2" s="120"/>
      <c r="AD2" s="120"/>
      <c r="AE2" s="120"/>
      <c r="AF2" s="120"/>
      <c r="AG2" s="120"/>
      <c r="AH2" s="120"/>
      <c r="AI2" s="120"/>
      <c r="AJ2" s="120"/>
      <c r="AK2" s="120" t="s">
        <v>325</v>
      </c>
      <c r="AL2" s="120"/>
      <c r="AM2" s="120"/>
      <c r="AN2" s="120"/>
      <c r="AO2" s="120"/>
      <c r="AP2" s="120"/>
      <c r="AQ2" s="120"/>
      <c r="AR2" s="120"/>
      <c r="AS2" s="120"/>
      <c r="AT2" s="160" t="s">
        <v>530</v>
      </c>
      <c r="AU2" s="120"/>
      <c r="AV2" s="120"/>
      <c r="AW2" s="120"/>
      <c r="AX2" s="120"/>
      <c r="AY2" s="120"/>
      <c r="AZ2" s="120"/>
      <c r="BA2" s="120"/>
      <c r="BB2" s="120"/>
    </row>
    <row r="3" spans="1:54" ht="12.75" customHeight="1">
      <c r="A3" s="120"/>
      <c r="B3" s="120"/>
      <c r="C3" s="120"/>
      <c r="D3" s="120" t="s">
        <v>193</v>
      </c>
      <c r="E3" s="120"/>
      <c r="F3" s="120"/>
      <c r="G3" s="120"/>
      <c r="H3" s="120"/>
      <c r="I3" s="120"/>
      <c r="J3" s="120"/>
      <c r="K3" s="120"/>
      <c r="L3" s="120"/>
      <c r="M3" s="120" t="s">
        <v>289</v>
      </c>
      <c r="N3" s="120"/>
      <c r="O3" s="120"/>
      <c r="P3" s="120"/>
      <c r="Q3" s="120"/>
      <c r="R3" s="120"/>
      <c r="S3" s="120" t="s">
        <v>325</v>
      </c>
      <c r="T3" s="120"/>
      <c r="U3" s="120"/>
      <c r="V3" s="120"/>
      <c r="W3" s="120"/>
      <c r="X3" s="120"/>
      <c r="Y3" s="120"/>
      <c r="Z3" s="120"/>
      <c r="AA3" s="120"/>
      <c r="AB3" s="120" t="s">
        <v>324</v>
      </c>
      <c r="AC3" s="120"/>
      <c r="AD3" s="120"/>
      <c r="AE3" s="120"/>
      <c r="AF3" s="120"/>
      <c r="AG3" s="120"/>
      <c r="AH3" s="120"/>
      <c r="AI3" s="120"/>
      <c r="AJ3" s="120"/>
      <c r="AK3" s="120" t="s">
        <v>324</v>
      </c>
      <c r="AL3" s="120"/>
      <c r="AM3" s="120"/>
      <c r="AN3" s="120"/>
      <c r="AO3" s="120"/>
      <c r="AP3" s="120"/>
      <c r="AQ3" s="120"/>
      <c r="AR3" s="120"/>
      <c r="AS3" s="120"/>
      <c r="AT3" s="160" t="s">
        <v>532</v>
      </c>
      <c r="AU3" s="120"/>
      <c r="AV3" s="120"/>
      <c r="AW3" s="120"/>
      <c r="AX3" s="120"/>
      <c r="AY3" s="120"/>
      <c r="AZ3" s="120"/>
      <c r="BA3" s="120"/>
      <c r="BB3" s="120"/>
    </row>
    <row r="4" spans="1:54" ht="12.7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 t="s">
        <v>324</v>
      </c>
      <c r="T4" s="120"/>
      <c r="U4" s="120"/>
      <c r="V4" s="120"/>
      <c r="W4" s="120"/>
      <c r="X4" s="120"/>
      <c r="Y4" s="120"/>
      <c r="Z4" s="120"/>
      <c r="AA4" s="120"/>
      <c r="AB4" s="120" t="s">
        <v>326</v>
      </c>
      <c r="AC4" s="120"/>
      <c r="AD4" s="120"/>
      <c r="AE4" s="120"/>
      <c r="AF4" s="120"/>
      <c r="AG4" s="120"/>
      <c r="AH4" s="120"/>
      <c r="AI4" s="120"/>
      <c r="AJ4" s="120"/>
      <c r="AK4" s="120" t="s">
        <v>326</v>
      </c>
      <c r="AL4" s="120"/>
      <c r="AM4" s="120"/>
      <c r="AN4" s="120"/>
      <c r="AO4" s="120"/>
      <c r="AP4" s="120"/>
      <c r="AQ4" s="120"/>
      <c r="AR4" s="120"/>
      <c r="AS4" s="120"/>
      <c r="AT4" s="160"/>
      <c r="AU4" s="120" t="s">
        <v>400</v>
      </c>
      <c r="AV4" s="120"/>
      <c r="AW4" s="120"/>
      <c r="AX4" s="120"/>
      <c r="AY4" s="254" t="s">
        <v>298</v>
      </c>
      <c r="AZ4" s="254" t="s">
        <v>555</v>
      </c>
      <c r="BA4" s="120"/>
      <c r="BB4" s="120"/>
    </row>
    <row r="5" spans="1:54" ht="12.75" customHeight="1">
      <c r="A5" s="120"/>
      <c r="B5" s="120"/>
      <c r="C5" s="120" t="s">
        <v>194</v>
      </c>
      <c r="D5" s="120"/>
      <c r="E5" s="120"/>
      <c r="F5" s="120"/>
      <c r="G5" s="120"/>
      <c r="H5" s="120"/>
      <c r="I5" s="120"/>
      <c r="J5" s="120"/>
      <c r="K5" s="120"/>
      <c r="L5" s="120" t="s">
        <v>194</v>
      </c>
      <c r="M5" s="120"/>
      <c r="N5" s="120"/>
      <c r="O5" s="120"/>
      <c r="P5" s="120"/>
      <c r="Q5" s="120"/>
      <c r="R5" s="120"/>
      <c r="S5" s="120" t="s">
        <v>326</v>
      </c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45"/>
      <c r="AU5" s="146" t="s">
        <v>405</v>
      </c>
      <c r="AV5" s="146"/>
      <c r="AW5" s="146"/>
      <c r="AX5" s="146"/>
      <c r="AY5" s="146"/>
      <c r="AZ5" s="145" t="s">
        <v>406</v>
      </c>
      <c r="BA5" s="145" t="s">
        <v>407</v>
      </c>
      <c r="BB5" s="143" t="s">
        <v>364</v>
      </c>
    </row>
    <row r="6" spans="1:54" ht="12.75" customHeight="1">
      <c r="A6" s="120"/>
      <c r="B6" s="120"/>
      <c r="C6" s="120"/>
      <c r="D6" s="277" t="s">
        <v>609</v>
      </c>
      <c r="E6" s="277"/>
      <c r="F6" s="120"/>
      <c r="G6" s="120"/>
      <c r="H6" s="120"/>
      <c r="I6" s="120"/>
      <c r="J6" s="120"/>
      <c r="K6" s="120"/>
      <c r="L6" s="120"/>
      <c r="M6" s="277" t="s">
        <v>609</v>
      </c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59"/>
      <c r="AU6" s="160"/>
      <c r="AV6" s="160"/>
      <c r="AW6" s="160"/>
      <c r="AX6" s="160"/>
      <c r="AY6" s="160"/>
      <c r="AZ6" s="159" t="s">
        <v>413</v>
      </c>
      <c r="BA6" s="159" t="s">
        <v>177</v>
      </c>
      <c r="BB6" s="173" t="s">
        <v>80</v>
      </c>
    </row>
    <row r="7" spans="1:54" ht="12.75" customHeight="1">
      <c r="A7" s="120" t="s">
        <v>528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59"/>
      <c r="AU7" s="160"/>
      <c r="AV7" s="160"/>
      <c r="AW7" s="160"/>
      <c r="AX7" s="160"/>
      <c r="AY7" s="160"/>
      <c r="AZ7" s="103" t="s">
        <v>178</v>
      </c>
      <c r="BA7" s="103"/>
      <c r="BB7" s="144" t="s">
        <v>81</v>
      </c>
    </row>
    <row r="8" spans="1:54" ht="12.75" customHeight="1">
      <c r="A8" s="120" t="s">
        <v>196</v>
      </c>
      <c r="B8" s="120"/>
      <c r="C8" s="120"/>
      <c r="D8" s="120"/>
      <c r="E8" s="120"/>
      <c r="F8" s="120"/>
      <c r="G8" s="120"/>
      <c r="H8" s="120"/>
      <c r="I8" s="120"/>
      <c r="J8" s="120" t="s">
        <v>528</v>
      </c>
      <c r="K8" s="120"/>
      <c r="L8" s="120"/>
      <c r="M8" s="120"/>
      <c r="N8" s="120"/>
      <c r="O8" s="120"/>
      <c r="P8" s="120"/>
      <c r="Q8" s="120"/>
      <c r="R8" s="120"/>
      <c r="S8" s="120" t="s">
        <v>357</v>
      </c>
      <c r="T8" s="120"/>
      <c r="U8" s="120"/>
      <c r="V8" s="120"/>
      <c r="W8" s="120"/>
      <c r="X8" s="120"/>
      <c r="Y8" s="120"/>
      <c r="Z8" s="120"/>
      <c r="AA8" s="120"/>
      <c r="AB8" s="120" t="s">
        <v>357</v>
      </c>
      <c r="AC8" s="120"/>
      <c r="AD8" s="120"/>
      <c r="AE8" s="120"/>
      <c r="AF8" s="120"/>
      <c r="AG8" s="120"/>
      <c r="AH8" s="120"/>
      <c r="AI8" s="120"/>
      <c r="AJ8" s="120"/>
      <c r="AK8" s="120" t="s">
        <v>357</v>
      </c>
      <c r="AL8" s="120"/>
      <c r="AM8" s="120"/>
      <c r="AN8" s="120"/>
      <c r="AO8" s="120"/>
      <c r="AP8" s="120"/>
      <c r="AQ8" s="120"/>
      <c r="AR8" s="120"/>
      <c r="AS8" s="120"/>
      <c r="AT8" s="145" t="s">
        <v>45</v>
      </c>
      <c r="AU8" s="146"/>
      <c r="AV8" s="146"/>
      <c r="AW8" s="146"/>
      <c r="AX8" s="146"/>
      <c r="AY8" s="147"/>
      <c r="AZ8" s="187">
        <f>I16+I17+I20+I22+I77</f>
        <v>12739145.199999982</v>
      </c>
      <c r="BA8" s="278"/>
      <c r="BB8" s="279">
        <f>BB9+BB14</f>
        <v>19567635.61082</v>
      </c>
    </row>
    <row r="9" spans="1:54" ht="12.75">
      <c r="A9" s="120" t="s">
        <v>198</v>
      </c>
      <c r="B9" s="120"/>
      <c r="C9" s="120"/>
      <c r="D9" s="120"/>
      <c r="E9" s="120"/>
      <c r="F9" s="120" t="s">
        <v>197</v>
      </c>
      <c r="G9" s="120"/>
      <c r="H9" s="120"/>
      <c r="I9" s="120"/>
      <c r="J9" s="120" t="s">
        <v>196</v>
      </c>
      <c r="K9" s="120"/>
      <c r="L9" s="120"/>
      <c r="M9" s="120"/>
      <c r="N9" s="120"/>
      <c r="O9" s="120" t="s">
        <v>197</v>
      </c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255" t="s">
        <v>383</v>
      </c>
      <c r="AU9" s="256"/>
      <c r="AV9" s="256"/>
      <c r="AW9" s="256"/>
      <c r="AX9" s="146"/>
      <c r="AY9" s="147"/>
      <c r="AZ9" s="280">
        <f>AZ11+AZ12</f>
        <v>5551860</v>
      </c>
      <c r="BA9" s="281">
        <f>(BB12+BB11)/AZ9</f>
        <v>3.5242816301996087</v>
      </c>
      <c r="BB9" s="279">
        <f>BB10+BB11+BB12+BB13</f>
        <v>19566318.21144</v>
      </c>
    </row>
    <row r="10" spans="1:54" ht="12.75">
      <c r="A10" s="143" t="s">
        <v>335</v>
      </c>
      <c r="B10" s="171" t="s">
        <v>199</v>
      </c>
      <c r="C10" s="143" t="s">
        <v>200</v>
      </c>
      <c r="D10" s="224" t="s">
        <v>286</v>
      </c>
      <c r="E10" s="225"/>
      <c r="F10" s="143" t="s">
        <v>201</v>
      </c>
      <c r="G10" s="143" t="s">
        <v>404</v>
      </c>
      <c r="H10" s="143" t="s">
        <v>202</v>
      </c>
      <c r="I10" s="143" t="s">
        <v>191</v>
      </c>
      <c r="J10" s="120" t="s">
        <v>198</v>
      </c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277" t="s">
        <v>610</v>
      </c>
      <c r="Z10" s="120"/>
      <c r="AA10" s="120"/>
      <c r="AB10" s="120"/>
      <c r="AC10" s="120"/>
      <c r="AD10" s="120"/>
      <c r="AE10" s="120"/>
      <c r="AF10" s="120"/>
      <c r="AG10" s="120"/>
      <c r="AH10" s="277" t="s">
        <v>610</v>
      </c>
      <c r="AI10" s="120"/>
      <c r="AJ10" s="120"/>
      <c r="AK10" s="120"/>
      <c r="AL10" s="120"/>
      <c r="AM10" s="120"/>
      <c r="AN10" s="120"/>
      <c r="AO10" s="120"/>
      <c r="AP10" s="120"/>
      <c r="AQ10" s="277" t="s">
        <v>610</v>
      </c>
      <c r="AR10" s="120"/>
      <c r="AS10" s="120"/>
      <c r="AT10" s="145" t="s">
        <v>179</v>
      </c>
      <c r="AU10" s="146"/>
      <c r="AV10" s="146"/>
      <c r="AW10" s="146"/>
      <c r="AX10" s="146"/>
      <c r="AY10" s="147"/>
      <c r="AZ10" s="282"/>
      <c r="BA10" s="283">
        <v>0</v>
      </c>
      <c r="BB10" s="284">
        <f>AZ10*BA10</f>
        <v>0</v>
      </c>
    </row>
    <row r="11" spans="1:54" ht="12.75">
      <c r="A11" s="173"/>
      <c r="B11" s="173"/>
      <c r="C11" s="173"/>
      <c r="D11" s="143" t="s">
        <v>203</v>
      </c>
      <c r="E11" s="145" t="s">
        <v>204</v>
      </c>
      <c r="F11" s="173" t="s">
        <v>205</v>
      </c>
      <c r="G11" s="173" t="s">
        <v>190</v>
      </c>
      <c r="H11" s="173"/>
      <c r="I11" s="173" t="s">
        <v>206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45" t="s">
        <v>180</v>
      </c>
      <c r="AU11" s="146"/>
      <c r="AV11" s="146"/>
      <c r="AW11" s="146"/>
      <c r="AX11" s="146"/>
      <c r="AY11" s="147"/>
      <c r="AZ11" s="155">
        <f>I81+I73</f>
        <v>5361.999999999978</v>
      </c>
      <c r="BA11" s="285">
        <v>5.25343</v>
      </c>
      <c r="BB11" s="284">
        <f>AZ11*BA11</f>
        <v>28168.891659999885</v>
      </c>
    </row>
    <row r="12" spans="1:54" ht="12.75">
      <c r="A12" s="144"/>
      <c r="B12" s="144"/>
      <c r="C12" s="144"/>
      <c r="D12" s="144" t="s">
        <v>207</v>
      </c>
      <c r="E12" s="103" t="s">
        <v>207</v>
      </c>
      <c r="F12" s="144" t="s">
        <v>208</v>
      </c>
      <c r="G12" s="144"/>
      <c r="H12" s="144"/>
      <c r="I12" s="144"/>
      <c r="J12" s="143" t="s">
        <v>335</v>
      </c>
      <c r="K12" s="171" t="s">
        <v>199</v>
      </c>
      <c r="L12" s="143" t="s">
        <v>200</v>
      </c>
      <c r="M12" s="224" t="s">
        <v>464</v>
      </c>
      <c r="N12" s="225"/>
      <c r="O12" s="143" t="s">
        <v>201</v>
      </c>
      <c r="P12" s="143" t="s">
        <v>404</v>
      </c>
      <c r="Q12" s="143" t="s">
        <v>202</v>
      </c>
      <c r="R12" s="143" t="s">
        <v>191</v>
      </c>
      <c r="S12" s="143" t="s">
        <v>335</v>
      </c>
      <c r="T12" s="145" t="s">
        <v>336</v>
      </c>
      <c r="U12" s="146"/>
      <c r="V12" s="147"/>
      <c r="W12" s="102" t="s">
        <v>337</v>
      </c>
      <c r="X12" s="150"/>
      <c r="Y12" s="150"/>
      <c r="Z12" s="150"/>
      <c r="AA12" s="151"/>
      <c r="AB12" s="143" t="s">
        <v>335</v>
      </c>
      <c r="AC12" s="145" t="s">
        <v>336</v>
      </c>
      <c r="AD12" s="146"/>
      <c r="AE12" s="147"/>
      <c r="AF12" s="102" t="s">
        <v>337</v>
      </c>
      <c r="AG12" s="150"/>
      <c r="AH12" s="150"/>
      <c r="AI12" s="150"/>
      <c r="AJ12" s="151"/>
      <c r="AK12" s="143" t="s">
        <v>335</v>
      </c>
      <c r="AL12" s="145" t="s">
        <v>336</v>
      </c>
      <c r="AM12" s="146"/>
      <c r="AN12" s="147"/>
      <c r="AO12" s="102" t="s">
        <v>337</v>
      </c>
      <c r="AP12" s="150"/>
      <c r="AQ12" s="150"/>
      <c r="AR12" s="150"/>
      <c r="AS12" s="151"/>
      <c r="AT12" s="145" t="s">
        <v>181</v>
      </c>
      <c r="AU12" s="146"/>
      <c r="AV12" s="146"/>
      <c r="AW12" s="146"/>
      <c r="AX12" s="146"/>
      <c r="AY12" s="147"/>
      <c r="AZ12" s="280">
        <f>I75</f>
        <v>5546498</v>
      </c>
      <c r="BA12" s="286">
        <v>3.52261</v>
      </c>
      <c r="BB12" s="284">
        <f>AZ12*BA12</f>
        <v>19538149.31978</v>
      </c>
    </row>
    <row r="13" spans="1:54" ht="12.75">
      <c r="A13" s="152">
        <v>1</v>
      </c>
      <c r="B13" s="152">
        <v>2</v>
      </c>
      <c r="C13" s="152">
        <v>3</v>
      </c>
      <c r="D13" s="152">
        <v>4</v>
      </c>
      <c r="E13" s="152">
        <v>5</v>
      </c>
      <c r="F13" s="152">
        <v>6</v>
      </c>
      <c r="G13" s="152">
        <v>7</v>
      </c>
      <c r="H13" s="152">
        <v>8</v>
      </c>
      <c r="I13" s="152">
        <v>9</v>
      </c>
      <c r="J13" s="173"/>
      <c r="K13" s="173"/>
      <c r="L13" s="173"/>
      <c r="M13" s="143" t="s">
        <v>203</v>
      </c>
      <c r="N13" s="145" t="s">
        <v>204</v>
      </c>
      <c r="O13" s="173" t="s">
        <v>205</v>
      </c>
      <c r="P13" s="173" t="s">
        <v>190</v>
      </c>
      <c r="Q13" s="173"/>
      <c r="R13" s="173" t="s">
        <v>206</v>
      </c>
      <c r="S13" s="144"/>
      <c r="T13" s="103"/>
      <c r="U13" s="148"/>
      <c r="V13" s="149"/>
      <c r="W13" s="152" t="s">
        <v>338</v>
      </c>
      <c r="X13" s="152" t="s">
        <v>339</v>
      </c>
      <c r="Y13" s="152" t="s">
        <v>340</v>
      </c>
      <c r="Z13" s="152" t="s">
        <v>341</v>
      </c>
      <c r="AA13" s="152" t="s">
        <v>342</v>
      </c>
      <c r="AB13" s="144"/>
      <c r="AC13" s="103"/>
      <c r="AD13" s="148"/>
      <c r="AE13" s="149"/>
      <c r="AF13" s="152" t="s">
        <v>338</v>
      </c>
      <c r="AG13" s="152" t="s">
        <v>339</v>
      </c>
      <c r="AH13" s="152" t="s">
        <v>340</v>
      </c>
      <c r="AI13" s="152" t="s">
        <v>341</v>
      </c>
      <c r="AJ13" s="152" t="s">
        <v>342</v>
      </c>
      <c r="AK13" s="144"/>
      <c r="AL13" s="103"/>
      <c r="AM13" s="148"/>
      <c r="AN13" s="149"/>
      <c r="AO13" s="152" t="s">
        <v>338</v>
      </c>
      <c r="AP13" s="152" t="s">
        <v>339</v>
      </c>
      <c r="AQ13" s="152" t="s">
        <v>340</v>
      </c>
      <c r="AR13" s="152" t="s">
        <v>341</v>
      </c>
      <c r="AS13" s="152" t="s">
        <v>342</v>
      </c>
      <c r="AT13" s="102" t="s">
        <v>173</v>
      </c>
      <c r="AU13" s="150"/>
      <c r="AV13" s="150"/>
      <c r="AW13" s="150"/>
      <c r="AX13" s="150"/>
      <c r="AY13" s="151"/>
      <c r="AZ13" s="280"/>
      <c r="BA13" s="257"/>
      <c r="BB13" s="284">
        <f>BA13*AZ13</f>
        <v>0</v>
      </c>
    </row>
    <row r="14" spans="1:54" ht="12.75">
      <c r="A14" s="103"/>
      <c r="B14" s="148"/>
      <c r="C14" s="320" t="s">
        <v>209</v>
      </c>
      <c r="D14" s="320"/>
      <c r="E14" s="148"/>
      <c r="F14" s="148"/>
      <c r="G14" s="148"/>
      <c r="H14" s="148"/>
      <c r="I14" s="149"/>
      <c r="J14" s="144"/>
      <c r="K14" s="144"/>
      <c r="L14" s="144"/>
      <c r="M14" s="144" t="s">
        <v>207</v>
      </c>
      <c r="N14" s="103" t="s">
        <v>207</v>
      </c>
      <c r="O14" s="144" t="s">
        <v>208</v>
      </c>
      <c r="P14" s="144"/>
      <c r="Q14" s="144"/>
      <c r="R14" s="144"/>
      <c r="S14" s="152">
        <v>1</v>
      </c>
      <c r="T14" s="96" t="s">
        <v>159</v>
      </c>
      <c r="U14" s="96"/>
      <c r="V14" s="96"/>
      <c r="W14" s="155">
        <f aca="true" t="shared" si="0" ref="W14:W25">SUM(X14:AA14)</f>
        <v>6955894</v>
      </c>
      <c r="X14" s="155">
        <f>SUM(X15:X26)</f>
        <v>5985441</v>
      </c>
      <c r="Y14" s="155">
        <f>SUM(Y15:Y27)</f>
        <v>0</v>
      </c>
      <c r="Z14" s="155">
        <f>SUM(Z15:Z26)</f>
        <v>970453</v>
      </c>
      <c r="AA14" s="152">
        <f>SUM(AA15:AA27)</f>
        <v>0</v>
      </c>
      <c r="AB14" s="152"/>
      <c r="AC14" s="96" t="s">
        <v>136</v>
      </c>
      <c r="AD14" s="96"/>
      <c r="AE14" s="96"/>
      <c r="AF14" s="163">
        <f>SUM(AG14:AJ14)</f>
        <v>173761</v>
      </c>
      <c r="AG14" s="155">
        <f>SUM(AG16:AG22)</f>
        <v>165321</v>
      </c>
      <c r="AH14" s="155">
        <f>SUM(AH16:AH22)</f>
        <v>0</v>
      </c>
      <c r="AI14" s="155">
        <f>SUM(AI16:AI22)</f>
        <v>8440</v>
      </c>
      <c r="AJ14" s="152">
        <f>SUM(AJ16:AJ22)</f>
        <v>0</v>
      </c>
      <c r="AK14" s="171">
        <v>1</v>
      </c>
      <c r="AL14" s="143" t="s">
        <v>136</v>
      </c>
      <c r="AM14" s="143"/>
      <c r="AN14" s="143"/>
      <c r="AO14" s="175">
        <f>SUM(AP14:AS14)</f>
        <v>57338</v>
      </c>
      <c r="AP14" s="175">
        <f>SUM(AP16:AP17)</f>
        <v>0</v>
      </c>
      <c r="AQ14" s="175">
        <f>SUM(AQ16:AQ17)</f>
        <v>0</v>
      </c>
      <c r="AR14" s="175">
        <f>ROUND(SUM(AR16:AR20),0)</f>
        <v>57338</v>
      </c>
      <c r="AS14" s="171">
        <f>SUM(AS16:AS17)</f>
        <v>0</v>
      </c>
      <c r="AT14" s="144" t="s">
        <v>423</v>
      </c>
      <c r="AU14" s="144"/>
      <c r="AV14" s="144"/>
      <c r="AW14" s="144"/>
      <c r="AX14" s="144"/>
      <c r="AY14" s="144"/>
      <c r="AZ14" s="280">
        <f>SUM(AZ15:AZ21)</f>
        <v>318</v>
      </c>
      <c r="BA14" s="287"/>
      <c r="BB14" s="284">
        <f>SUM(BB15:BB21)</f>
        <v>1317.3993799999998</v>
      </c>
    </row>
    <row r="15" spans="1:54" ht="12.75">
      <c r="A15" s="103"/>
      <c r="B15" s="102" t="s">
        <v>520</v>
      </c>
      <c r="C15" s="320"/>
      <c r="D15" s="320"/>
      <c r="E15" s="148"/>
      <c r="F15" s="148"/>
      <c r="G15" s="148"/>
      <c r="H15" s="148"/>
      <c r="I15" s="149"/>
      <c r="J15" s="152">
        <v>1</v>
      </c>
      <c r="K15" s="152">
        <v>2</v>
      </c>
      <c r="L15" s="152">
        <v>3</v>
      </c>
      <c r="M15" s="152">
        <v>4</v>
      </c>
      <c r="N15" s="152">
        <v>5</v>
      </c>
      <c r="O15" s="152">
        <v>6</v>
      </c>
      <c r="P15" s="152">
        <v>7</v>
      </c>
      <c r="Q15" s="152">
        <v>8</v>
      </c>
      <c r="R15" s="152">
        <v>9</v>
      </c>
      <c r="S15" s="170" t="s">
        <v>145</v>
      </c>
      <c r="T15" s="145" t="s">
        <v>121</v>
      </c>
      <c r="U15" s="146"/>
      <c r="V15" s="146"/>
      <c r="W15" s="163">
        <f t="shared" si="0"/>
        <v>3968095</v>
      </c>
      <c r="X15" s="193">
        <f>ROUND(I20,0)</f>
        <v>3968095</v>
      </c>
      <c r="Y15" s="171">
        <v>0</v>
      </c>
      <c r="Z15" s="171">
        <v>0</v>
      </c>
      <c r="AA15" s="171">
        <v>0</v>
      </c>
      <c r="AB15" s="171">
        <v>1</v>
      </c>
      <c r="AC15" s="145" t="s">
        <v>543</v>
      </c>
      <c r="AD15" s="146"/>
      <c r="AE15" s="147"/>
      <c r="AF15" s="162"/>
      <c r="AG15" s="165"/>
      <c r="AH15" s="165"/>
      <c r="AI15" s="165"/>
      <c r="AJ15" s="303"/>
      <c r="AK15" s="319"/>
      <c r="AL15" s="145" t="s">
        <v>545</v>
      </c>
      <c r="AM15" s="146"/>
      <c r="AN15" s="147"/>
      <c r="AO15" s="175"/>
      <c r="AP15" s="171"/>
      <c r="AQ15" s="171"/>
      <c r="AR15" s="175"/>
      <c r="AS15" s="171"/>
      <c r="AT15" s="147" t="s">
        <v>174</v>
      </c>
      <c r="AU15" s="143"/>
      <c r="AV15" s="143"/>
      <c r="AW15" s="143"/>
      <c r="AX15" s="143"/>
      <c r="AY15" s="143"/>
      <c r="AZ15" s="155">
        <f>AS57-AZ16</f>
        <v>0</v>
      </c>
      <c r="BA15" s="288"/>
      <c r="BB15" s="284">
        <f>AZ15*BA15</f>
        <v>0</v>
      </c>
    </row>
    <row r="16" spans="1:54" ht="12.75">
      <c r="A16" s="171">
        <v>1</v>
      </c>
      <c r="B16" s="143" t="s">
        <v>249</v>
      </c>
      <c r="C16" s="197">
        <v>804152757</v>
      </c>
      <c r="D16" s="230">
        <v>4750.8215</v>
      </c>
      <c r="E16" s="230">
        <v>4854.7227</v>
      </c>
      <c r="F16" s="155">
        <v>36000</v>
      </c>
      <c r="G16" s="252">
        <f>E16-D16</f>
        <v>103.90120000000024</v>
      </c>
      <c r="H16" s="96"/>
      <c r="I16" s="155">
        <f>ROUND((F16*G16+H16),0)</f>
        <v>3740443</v>
      </c>
      <c r="J16" s="103"/>
      <c r="K16" s="148"/>
      <c r="L16" s="148" t="s">
        <v>209</v>
      </c>
      <c r="M16" s="148"/>
      <c r="N16" s="148"/>
      <c r="O16" s="148"/>
      <c r="P16" s="148"/>
      <c r="Q16" s="148"/>
      <c r="R16" s="149"/>
      <c r="S16" s="157" t="s">
        <v>146</v>
      </c>
      <c r="T16" s="159" t="s">
        <v>122</v>
      </c>
      <c r="U16" s="160"/>
      <c r="V16" s="160"/>
      <c r="W16" s="163">
        <f t="shared" si="0"/>
        <v>0</v>
      </c>
      <c r="X16" s="186">
        <f>ROUND(I27,0)</f>
        <v>0</v>
      </c>
      <c r="Y16" s="168">
        <v>0</v>
      </c>
      <c r="Z16" s="163">
        <v>0</v>
      </c>
      <c r="AA16" s="168">
        <v>0</v>
      </c>
      <c r="AB16" s="157" t="s">
        <v>145</v>
      </c>
      <c r="AC16" s="159" t="s">
        <v>343</v>
      </c>
      <c r="AD16" s="160"/>
      <c r="AE16" s="161"/>
      <c r="AF16" s="163">
        <f>AG16+AH16+AI16+AJ16</f>
        <v>165321</v>
      </c>
      <c r="AG16" s="163">
        <v>165321</v>
      </c>
      <c r="AH16" s="168">
        <v>0</v>
      </c>
      <c r="AI16" s="163">
        <v>0</v>
      </c>
      <c r="AJ16" s="192">
        <v>0</v>
      </c>
      <c r="AK16" s="157" t="s">
        <v>145</v>
      </c>
      <c r="AL16" s="159" t="s">
        <v>84</v>
      </c>
      <c r="AM16" s="160"/>
      <c r="AN16" s="161"/>
      <c r="AO16" s="163">
        <f>AP16+AQ16+AR16+AS16</f>
        <v>249</v>
      </c>
      <c r="AP16" s="168">
        <v>0</v>
      </c>
      <c r="AQ16" s="168">
        <v>0</v>
      </c>
      <c r="AR16" s="163">
        <v>249</v>
      </c>
      <c r="AS16" s="168">
        <v>0</v>
      </c>
      <c r="AT16" s="147" t="s">
        <v>174</v>
      </c>
      <c r="AU16" s="143"/>
      <c r="AV16" s="143"/>
      <c r="AW16" s="143"/>
      <c r="AX16" s="143"/>
      <c r="AY16" s="143"/>
      <c r="AZ16" s="155">
        <f>AS57/100*80</f>
        <v>0</v>
      </c>
      <c r="BA16" s="289"/>
      <c r="BB16" s="284">
        <f>AZ16*BA16</f>
        <v>0</v>
      </c>
    </row>
    <row r="17" spans="1:54" ht="12.75">
      <c r="A17" s="144"/>
      <c r="B17" s="103" t="s">
        <v>250</v>
      </c>
      <c r="C17" s="213">
        <v>109054169</v>
      </c>
      <c r="D17" s="230">
        <v>7305.9858</v>
      </c>
      <c r="E17" s="230">
        <v>7443.4415</v>
      </c>
      <c r="F17" s="155">
        <v>36000</v>
      </c>
      <c r="G17" s="252">
        <f>E17-D17</f>
        <v>137.45569999999952</v>
      </c>
      <c r="H17" s="96"/>
      <c r="I17" s="155">
        <f>F17*G17+H17</f>
        <v>4948405.1999999825</v>
      </c>
      <c r="J17" s="96"/>
      <c r="K17" s="102" t="s">
        <v>210</v>
      </c>
      <c r="L17" s="150"/>
      <c r="M17" s="150"/>
      <c r="N17" s="150"/>
      <c r="O17" s="150"/>
      <c r="P17" s="150"/>
      <c r="Q17" s="150"/>
      <c r="R17" s="151"/>
      <c r="S17" s="157" t="s">
        <v>147</v>
      </c>
      <c r="T17" s="159" t="s">
        <v>123</v>
      </c>
      <c r="U17" s="160"/>
      <c r="V17" s="160"/>
      <c r="W17" s="163">
        <f t="shared" si="0"/>
        <v>432922</v>
      </c>
      <c r="X17" s="186">
        <f>ROUND(I29,0)</f>
        <v>432922</v>
      </c>
      <c r="Y17" s="168">
        <v>0</v>
      </c>
      <c r="Z17" s="163">
        <v>0</v>
      </c>
      <c r="AA17" s="168">
        <v>0</v>
      </c>
      <c r="AB17" s="157" t="s">
        <v>146</v>
      </c>
      <c r="AC17" s="159" t="s">
        <v>172</v>
      </c>
      <c r="AD17" s="160"/>
      <c r="AE17" s="161"/>
      <c r="AF17" s="163">
        <f>AG17+AH17+AI17+AJ17</f>
        <v>1797</v>
      </c>
      <c r="AG17" s="168">
        <v>0</v>
      </c>
      <c r="AH17" s="168">
        <v>0</v>
      </c>
      <c r="AI17" s="163">
        <v>1797</v>
      </c>
      <c r="AJ17" s="192">
        <v>0</v>
      </c>
      <c r="AK17" s="157" t="s">
        <v>146</v>
      </c>
      <c r="AL17" s="159" t="s">
        <v>277</v>
      </c>
      <c r="AM17" s="160"/>
      <c r="AN17" s="161"/>
      <c r="AO17" s="163">
        <f>AP17+AQ17+AR17+AS17</f>
        <v>1885</v>
      </c>
      <c r="AP17" s="168">
        <v>0</v>
      </c>
      <c r="AQ17" s="168">
        <v>0</v>
      </c>
      <c r="AR17" s="163">
        <v>1885</v>
      </c>
      <c r="AS17" s="168">
        <v>0</v>
      </c>
      <c r="AT17" s="146" t="s">
        <v>141</v>
      </c>
      <c r="AU17" s="146"/>
      <c r="AV17" s="146"/>
      <c r="AW17" s="146"/>
      <c r="AX17" s="146"/>
      <c r="AY17" s="147"/>
      <c r="AZ17" s="280">
        <f>R21</f>
        <v>140</v>
      </c>
      <c r="BA17" s="290">
        <v>3.41</v>
      </c>
      <c r="BB17" s="284">
        <f>AZ17*BA17</f>
        <v>477.40000000000003</v>
      </c>
    </row>
    <row r="18" spans="1:54" ht="12.75">
      <c r="A18" s="102"/>
      <c r="B18" s="150"/>
      <c r="C18" s="148"/>
      <c r="D18" s="150"/>
      <c r="E18" s="150"/>
      <c r="F18" s="214" t="s">
        <v>212</v>
      </c>
      <c r="G18" s="150"/>
      <c r="H18" s="151"/>
      <c r="I18" s="155">
        <f>ROUND((I16+I17+I22),0)</f>
        <v>8765688</v>
      </c>
      <c r="J18" s="152">
        <v>1</v>
      </c>
      <c r="K18" s="102" t="s">
        <v>211</v>
      </c>
      <c r="L18" s="150"/>
      <c r="M18" s="150"/>
      <c r="N18" s="150"/>
      <c r="O18" s="150"/>
      <c r="P18" s="150"/>
      <c r="Q18" s="150"/>
      <c r="R18" s="151"/>
      <c r="S18" s="157" t="s">
        <v>148</v>
      </c>
      <c r="T18" s="159" t="s">
        <v>124</v>
      </c>
      <c r="U18" s="160"/>
      <c r="V18" s="160"/>
      <c r="W18" s="163">
        <f t="shared" si="0"/>
        <v>256075</v>
      </c>
      <c r="X18" s="186">
        <f>ROUND(I31,0)</f>
        <v>256075</v>
      </c>
      <c r="Y18" s="168">
        <v>0</v>
      </c>
      <c r="Z18" s="163">
        <v>0</v>
      </c>
      <c r="AA18" s="168">
        <v>0</v>
      </c>
      <c r="AB18" s="158" t="s">
        <v>147</v>
      </c>
      <c r="AC18" s="148" t="s">
        <v>156</v>
      </c>
      <c r="AD18" s="148"/>
      <c r="AE18" s="148"/>
      <c r="AF18" s="164">
        <f>AG18+AH18+AI18+AJ18</f>
        <v>6643</v>
      </c>
      <c r="AG18" s="169">
        <v>0</v>
      </c>
      <c r="AH18" s="169">
        <v>0</v>
      </c>
      <c r="AI18" s="164">
        <v>6643</v>
      </c>
      <c r="AJ18" s="318">
        <v>0</v>
      </c>
      <c r="AK18" s="157" t="s">
        <v>147</v>
      </c>
      <c r="AL18" s="159" t="s">
        <v>135</v>
      </c>
      <c r="AM18" s="160"/>
      <c r="AN18" s="161"/>
      <c r="AO18" s="163">
        <f>AP18+AQ18+AR18+AS18</f>
        <v>42329</v>
      </c>
      <c r="AP18" s="168">
        <v>0</v>
      </c>
      <c r="AQ18" s="168">
        <v>0</v>
      </c>
      <c r="AR18" s="163">
        <v>42329</v>
      </c>
      <c r="AS18" s="168">
        <v>0</v>
      </c>
      <c r="AT18" s="146" t="s">
        <v>142</v>
      </c>
      <c r="AU18" s="146"/>
      <c r="AV18" s="146"/>
      <c r="AW18" s="146"/>
      <c r="AX18" s="146"/>
      <c r="AY18" s="147"/>
      <c r="AZ18" s="280">
        <f>R22</f>
        <v>60</v>
      </c>
      <c r="BA18" s="290">
        <v>1.62</v>
      </c>
      <c r="BB18" s="284">
        <f>AZ18*BA18</f>
        <v>97.2</v>
      </c>
    </row>
    <row r="19" spans="1:54" ht="12.75">
      <c r="A19" s="96" t="s">
        <v>213</v>
      </c>
      <c r="B19" s="102" t="s">
        <v>466</v>
      </c>
      <c r="C19" s="150"/>
      <c r="D19" s="150"/>
      <c r="E19" s="150"/>
      <c r="F19" s="150"/>
      <c r="G19" s="150"/>
      <c r="H19" s="150"/>
      <c r="I19" s="151"/>
      <c r="J19" s="171" t="s">
        <v>213</v>
      </c>
      <c r="K19" s="143" t="s">
        <v>290</v>
      </c>
      <c r="L19" s="171">
        <v>16654</v>
      </c>
      <c r="M19" s="234">
        <v>5428</v>
      </c>
      <c r="N19" s="234">
        <v>5546</v>
      </c>
      <c r="O19" s="171">
        <v>1</v>
      </c>
      <c r="P19" s="258">
        <f>N19-M19</f>
        <v>118</v>
      </c>
      <c r="Q19" s="259"/>
      <c r="R19" s="175">
        <f>O19*P19+Q19</f>
        <v>118</v>
      </c>
      <c r="S19" s="157" t="s">
        <v>153</v>
      </c>
      <c r="T19" s="159" t="s">
        <v>125</v>
      </c>
      <c r="U19" s="160"/>
      <c r="V19" s="160"/>
      <c r="W19" s="163">
        <f t="shared" si="0"/>
        <v>0</v>
      </c>
      <c r="X19" s="186">
        <f>ROUND(I33,0)</f>
        <v>0</v>
      </c>
      <c r="Y19" s="168">
        <v>0</v>
      </c>
      <c r="Z19" s="168">
        <v>0</v>
      </c>
      <c r="AA19" s="168">
        <v>0</v>
      </c>
      <c r="AB19" s="179"/>
      <c r="AC19" s="160"/>
      <c r="AD19" s="160"/>
      <c r="AE19" s="160"/>
      <c r="AF19" s="180"/>
      <c r="AG19" s="181"/>
      <c r="AH19" s="181"/>
      <c r="AI19" s="180"/>
      <c r="AJ19" s="181"/>
      <c r="AK19" s="157" t="s">
        <v>148</v>
      </c>
      <c r="AL19" s="159" t="s">
        <v>158</v>
      </c>
      <c r="AM19" s="160"/>
      <c r="AN19" s="161"/>
      <c r="AO19" s="163">
        <f>AP19+AQ19+AR19+AS19</f>
        <v>947</v>
      </c>
      <c r="AP19" s="163">
        <v>0</v>
      </c>
      <c r="AQ19" s="168">
        <v>0</v>
      </c>
      <c r="AR19" s="163">
        <v>947</v>
      </c>
      <c r="AS19" s="168">
        <v>0</v>
      </c>
      <c r="AT19" s="146" t="s">
        <v>182</v>
      </c>
      <c r="AU19" s="146"/>
      <c r="AV19" s="146"/>
      <c r="AW19" s="146"/>
      <c r="AX19" s="146"/>
      <c r="AY19" s="147"/>
      <c r="AZ19" s="291">
        <f>R19+R20</f>
        <v>118</v>
      </c>
      <c r="BA19" s="285">
        <v>6.29491</v>
      </c>
      <c r="BB19" s="284">
        <f>AZ19*BA19</f>
        <v>742.7993799999999</v>
      </c>
    </row>
    <row r="20" spans="1:54" ht="12.75">
      <c r="A20" s="96" t="s">
        <v>215</v>
      </c>
      <c r="B20" s="96" t="s">
        <v>216</v>
      </c>
      <c r="C20" s="213">
        <v>109053225</v>
      </c>
      <c r="D20" s="230">
        <v>18935.7303</v>
      </c>
      <c r="E20" s="230">
        <v>19124.6872</v>
      </c>
      <c r="F20" s="155">
        <v>21000</v>
      </c>
      <c r="G20" s="252">
        <f>E20-D20</f>
        <v>188.95690000000104</v>
      </c>
      <c r="H20" s="96"/>
      <c r="I20" s="155">
        <f>ROUND((F20*G20+H20),0)</f>
        <v>3968095</v>
      </c>
      <c r="J20" s="144"/>
      <c r="K20" s="144" t="s">
        <v>291</v>
      </c>
      <c r="L20" s="144"/>
      <c r="M20" s="144"/>
      <c r="N20" s="144"/>
      <c r="O20" s="144"/>
      <c r="P20" s="185"/>
      <c r="Q20" s="260"/>
      <c r="R20" s="276"/>
      <c r="S20" s="157" t="s">
        <v>157</v>
      </c>
      <c r="T20" s="159" t="s">
        <v>126</v>
      </c>
      <c r="U20" s="160"/>
      <c r="V20" s="160"/>
      <c r="W20" s="163">
        <f t="shared" si="0"/>
        <v>584420</v>
      </c>
      <c r="X20" s="186">
        <f>ROUND(I35,0)</f>
        <v>584420</v>
      </c>
      <c r="Y20" s="168">
        <v>0</v>
      </c>
      <c r="Z20" s="163">
        <v>0</v>
      </c>
      <c r="AA20" s="168">
        <v>0</v>
      </c>
      <c r="AB20" s="179"/>
      <c r="AC20" s="160"/>
      <c r="AD20" s="160"/>
      <c r="AE20" s="160"/>
      <c r="AF20" s="180"/>
      <c r="AG20" s="180"/>
      <c r="AH20" s="181"/>
      <c r="AI20" s="180"/>
      <c r="AJ20" s="181"/>
      <c r="AK20" s="158" t="s">
        <v>153</v>
      </c>
      <c r="AL20" s="103" t="s">
        <v>544</v>
      </c>
      <c r="AM20" s="148"/>
      <c r="AN20" s="149"/>
      <c r="AO20" s="164">
        <f>AP20+AQ20+AR20+AS20</f>
        <v>11928</v>
      </c>
      <c r="AP20" s="164"/>
      <c r="AQ20" s="169"/>
      <c r="AR20" s="164">
        <v>11928</v>
      </c>
      <c r="AS20" s="169"/>
      <c r="AT20" s="146" t="s">
        <v>416</v>
      </c>
      <c r="AU20" s="146"/>
      <c r="AV20" s="146"/>
      <c r="AW20" s="146"/>
      <c r="AX20" s="146"/>
      <c r="AY20" s="147"/>
      <c r="AZ20" s="280"/>
      <c r="BA20" s="290"/>
      <c r="BB20" s="279"/>
    </row>
    <row r="21" spans="1:54" ht="12.75">
      <c r="A21" s="96" t="s">
        <v>521</v>
      </c>
      <c r="B21" s="150" t="s">
        <v>524</v>
      </c>
      <c r="C21" s="148"/>
      <c r="D21" s="150"/>
      <c r="E21" s="150"/>
      <c r="F21" s="214"/>
      <c r="G21" s="150"/>
      <c r="H21" s="151"/>
      <c r="I21" s="155"/>
      <c r="J21" s="143" t="s">
        <v>219</v>
      </c>
      <c r="K21" s="143" t="s">
        <v>293</v>
      </c>
      <c r="L21" s="377">
        <v>122848480</v>
      </c>
      <c r="M21" s="376">
        <v>506</v>
      </c>
      <c r="N21" s="376">
        <v>513</v>
      </c>
      <c r="O21" s="152">
        <v>20</v>
      </c>
      <c r="P21" s="375">
        <f>N21-M21</f>
        <v>7</v>
      </c>
      <c r="Q21" s="261"/>
      <c r="R21" s="155">
        <f>O21*P21+Q21</f>
        <v>140</v>
      </c>
      <c r="S21" s="157" t="s">
        <v>161</v>
      </c>
      <c r="T21" s="159" t="s">
        <v>127</v>
      </c>
      <c r="U21" s="160"/>
      <c r="V21" s="160"/>
      <c r="W21" s="163">
        <f t="shared" si="0"/>
        <v>168220</v>
      </c>
      <c r="X21" s="186">
        <f>ROUND(I37,0)</f>
        <v>168220</v>
      </c>
      <c r="Y21" s="168">
        <v>0</v>
      </c>
      <c r="Z21" s="163">
        <v>0</v>
      </c>
      <c r="AA21" s="168">
        <v>0</v>
      </c>
      <c r="AB21" s="179"/>
      <c r="AC21" s="160"/>
      <c r="AD21" s="160"/>
      <c r="AE21" s="160"/>
      <c r="AF21" s="180"/>
      <c r="AG21" s="180"/>
      <c r="AH21" s="181"/>
      <c r="AI21" s="180"/>
      <c r="AJ21" s="181"/>
      <c r="AK21" s="179"/>
      <c r="AL21" s="160"/>
      <c r="AM21" s="160"/>
      <c r="AN21" s="160"/>
      <c r="AO21" s="180"/>
      <c r="AP21" s="181"/>
      <c r="AQ21" s="182"/>
      <c r="AR21" s="180"/>
      <c r="AS21" s="181"/>
      <c r="AT21" s="102"/>
      <c r="AU21" s="146"/>
      <c r="AV21" s="146"/>
      <c r="AW21" s="146"/>
      <c r="AX21" s="146"/>
      <c r="AY21" s="147"/>
      <c r="AZ21" s="280"/>
      <c r="BA21" s="290"/>
      <c r="BB21" s="279"/>
    </row>
    <row r="22" spans="1:54" ht="12.75">
      <c r="A22" s="96" t="s">
        <v>522</v>
      </c>
      <c r="B22" s="102" t="s">
        <v>525</v>
      </c>
      <c r="C22" s="150"/>
      <c r="D22" s="150"/>
      <c r="E22" s="150"/>
      <c r="F22" s="150"/>
      <c r="G22" s="150"/>
      <c r="H22" s="151"/>
      <c r="I22" s="280">
        <v>76840</v>
      </c>
      <c r="J22" s="144"/>
      <c r="K22" s="144" t="s">
        <v>292</v>
      </c>
      <c r="L22" s="377">
        <v>122848480</v>
      </c>
      <c r="M22" s="376">
        <v>139</v>
      </c>
      <c r="N22" s="376">
        <v>142</v>
      </c>
      <c r="O22" s="152">
        <v>20</v>
      </c>
      <c r="P22" s="375">
        <f>N22-M22</f>
        <v>3</v>
      </c>
      <c r="Q22" s="261"/>
      <c r="R22" s="155">
        <f>O22*P22+Q22</f>
        <v>60</v>
      </c>
      <c r="S22" s="157" t="s">
        <v>162</v>
      </c>
      <c r="T22" s="159" t="s">
        <v>128</v>
      </c>
      <c r="U22" s="160"/>
      <c r="V22" s="160"/>
      <c r="W22" s="163">
        <f t="shared" si="0"/>
        <v>575709</v>
      </c>
      <c r="X22" s="186">
        <f>ROUND(I39,0)</f>
        <v>575709</v>
      </c>
      <c r="Y22" s="168">
        <v>0</v>
      </c>
      <c r="Z22" s="168">
        <v>0</v>
      </c>
      <c r="AA22" s="168">
        <v>0</v>
      </c>
      <c r="AB22" s="179"/>
      <c r="AC22" s="160"/>
      <c r="AD22" s="160"/>
      <c r="AE22" s="160"/>
      <c r="AF22" s="180"/>
      <c r="AG22" s="181"/>
      <c r="AH22" s="181"/>
      <c r="AI22" s="180"/>
      <c r="AJ22" s="181"/>
      <c r="AK22" s="179"/>
      <c r="AL22" s="160"/>
      <c r="AM22" s="160"/>
      <c r="AN22" s="160"/>
      <c r="AO22" s="180"/>
      <c r="AP22" s="181"/>
      <c r="AQ22" s="182"/>
      <c r="AR22" s="180"/>
      <c r="AS22" s="181"/>
      <c r="AT22" s="255" t="s">
        <v>22</v>
      </c>
      <c r="AU22" s="256"/>
      <c r="AV22" s="256"/>
      <c r="AW22" s="256"/>
      <c r="AX22" s="146"/>
      <c r="AY22" s="147"/>
      <c r="AZ22" s="280"/>
      <c r="BA22" s="293"/>
      <c r="BB22" s="294"/>
    </row>
    <row r="23" spans="1:54" ht="12.75">
      <c r="A23" s="102"/>
      <c r="B23" s="102"/>
      <c r="C23" s="371"/>
      <c r="D23" s="372"/>
      <c r="E23" s="372"/>
      <c r="F23" s="373"/>
      <c r="G23" s="374"/>
      <c r="H23" s="151"/>
      <c r="I23" s="280"/>
      <c r="J23" s="102"/>
      <c r="K23" s="245"/>
      <c r="L23" s="245"/>
      <c r="M23" s="245"/>
      <c r="N23" s="245"/>
      <c r="O23" s="245"/>
      <c r="P23" s="246" t="s">
        <v>274</v>
      </c>
      <c r="Q23" s="247"/>
      <c r="R23" s="155">
        <f>R19+R21+R22+R20</f>
        <v>318</v>
      </c>
      <c r="S23" s="157" t="s">
        <v>163</v>
      </c>
      <c r="T23" s="159" t="s">
        <v>129</v>
      </c>
      <c r="U23" s="160"/>
      <c r="V23" s="160"/>
      <c r="W23" s="163">
        <f t="shared" si="0"/>
        <v>746002</v>
      </c>
      <c r="X23" s="186">
        <v>0</v>
      </c>
      <c r="Y23" s="168">
        <v>0</v>
      </c>
      <c r="Z23" s="163">
        <f>I26+I25-1</f>
        <v>746002</v>
      </c>
      <c r="AA23" s="168">
        <v>0</v>
      </c>
      <c r="AB23" s="179"/>
      <c r="AC23" s="160"/>
      <c r="AD23" s="160"/>
      <c r="AE23" s="160"/>
      <c r="AF23" s="180"/>
      <c r="AG23" s="181"/>
      <c r="AH23" s="182"/>
      <c r="AI23" s="180"/>
      <c r="AJ23" s="181"/>
      <c r="AK23" s="179"/>
      <c r="AL23" s="160"/>
      <c r="AM23" s="160"/>
      <c r="AN23" s="160"/>
      <c r="AO23" s="180"/>
      <c r="AP23" s="181"/>
      <c r="AQ23" s="182"/>
      <c r="AR23" s="180"/>
      <c r="AS23" s="181"/>
      <c r="AT23" s="145" t="s">
        <v>23</v>
      </c>
      <c r="AU23" s="146"/>
      <c r="AV23" s="146"/>
      <c r="AW23" s="146"/>
      <c r="AX23" s="146"/>
      <c r="AY23" s="147"/>
      <c r="AZ23" s="280"/>
      <c r="BA23" s="293"/>
      <c r="BB23" s="279"/>
    </row>
    <row r="24" spans="1:54" ht="12.75">
      <c r="A24" s="96" t="s">
        <v>219</v>
      </c>
      <c r="B24" s="103" t="s">
        <v>220</v>
      </c>
      <c r="C24" s="148"/>
      <c r="D24" s="148"/>
      <c r="E24" s="148"/>
      <c r="F24" s="148"/>
      <c r="G24" s="148"/>
      <c r="H24" s="148"/>
      <c r="I24" s="151"/>
      <c r="J24" s="145"/>
      <c r="K24" s="146"/>
      <c r="L24" s="146"/>
      <c r="M24" s="146"/>
      <c r="N24" s="146"/>
      <c r="O24" s="146"/>
      <c r="P24" s="248"/>
      <c r="Q24" s="249"/>
      <c r="R24" s="250"/>
      <c r="S24" s="157" t="s">
        <v>164</v>
      </c>
      <c r="T24" s="160" t="s">
        <v>130</v>
      </c>
      <c r="U24" s="160"/>
      <c r="V24" s="160"/>
      <c r="W24" s="163">
        <f t="shared" si="0"/>
        <v>36505</v>
      </c>
      <c r="X24" s="186">
        <v>0</v>
      </c>
      <c r="Y24" s="168">
        <v>0</v>
      </c>
      <c r="Z24" s="163">
        <f>I41-1</f>
        <v>36505</v>
      </c>
      <c r="AA24" s="168">
        <v>0</v>
      </c>
      <c r="AB24" s="153"/>
      <c r="AC24" s="120" t="s">
        <v>189</v>
      </c>
      <c r="AD24" s="120"/>
      <c r="AE24" s="120"/>
      <c r="AF24" s="154"/>
      <c r="AG24" s="154"/>
      <c r="AH24" s="154"/>
      <c r="AI24" s="154"/>
      <c r="AJ24" s="154"/>
      <c r="AK24" s="153"/>
      <c r="AL24" s="120" t="s">
        <v>278</v>
      </c>
      <c r="AM24" s="120"/>
      <c r="AN24" s="120"/>
      <c r="AO24" s="154"/>
      <c r="AP24" s="154"/>
      <c r="AQ24" s="154"/>
      <c r="AR24" s="154"/>
      <c r="AS24" s="154"/>
      <c r="AT24" s="262" t="s">
        <v>139</v>
      </c>
      <c r="AU24" s="245"/>
      <c r="AV24" s="245"/>
      <c r="AW24" s="245"/>
      <c r="AX24" s="245"/>
      <c r="AY24" s="263"/>
      <c r="AZ24" s="295"/>
      <c r="BA24" s="287"/>
      <c r="BB24" s="284"/>
    </row>
    <row r="25" spans="1:54" ht="12.75">
      <c r="A25" s="143" t="s">
        <v>221</v>
      </c>
      <c r="B25" s="143" t="s">
        <v>224</v>
      </c>
      <c r="C25" s="197"/>
      <c r="D25" s="323"/>
      <c r="E25" s="323"/>
      <c r="F25" s="164"/>
      <c r="G25" s="324"/>
      <c r="H25" s="164"/>
      <c r="I25" s="164"/>
      <c r="J25" s="159" t="s">
        <v>275</v>
      </c>
      <c r="K25" s="160"/>
      <c r="L25" s="160"/>
      <c r="M25" s="160"/>
      <c r="N25" s="160"/>
      <c r="O25" s="160"/>
      <c r="P25" s="190"/>
      <c r="Q25" s="238"/>
      <c r="R25" s="251"/>
      <c r="S25" s="157" t="s">
        <v>165</v>
      </c>
      <c r="T25" s="160" t="s">
        <v>131</v>
      </c>
      <c r="U25" s="160"/>
      <c r="V25" s="160"/>
      <c r="W25" s="163">
        <f t="shared" si="0"/>
        <v>162240</v>
      </c>
      <c r="X25" s="186">
        <v>0</v>
      </c>
      <c r="Y25" s="168">
        <v>0</v>
      </c>
      <c r="Z25" s="163">
        <f>I43</f>
        <v>162240</v>
      </c>
      <c r="AA25" s="168">
        <v>0</v>
      </c>
      <c r="AB25" s="153"/>
      <c r="AC25" s="120" t="s">
        <v>533</v>
      </c>
      <c r="AD25" s="120"/>
      <c r="AE25" s="120"/>
      <c r="AF25" s="120"/>
      <c r="AG25" s="120"/>
      <c r="AH25" s="120"/>
      <c r="AI25" s="120"/>
      <c r="AJ25" s="120"/>
      <c r="AK25" s="153"/>
      <c r="AL25" s="120" t="s">
        <v>533</v>
      </c>
      <c r="AM25" s="120"/>
      <c r="AN25" s="120"/>
      <c r="AO25" s="120"/>
      <c r="AP25" s="120"/>
      <c r="AQ25" s="120"/>
      <c r="AR25" s="120"/>
      <c r="AS25" s="120"/>
      <c r="AT25" s="103" t="s">
        <v>183</v>
      </c>
      <c r="AU25" s="148"/>
      <c r="AV25" s="148"/>
      <c r="AW25" s="148"/>
      <c r="AX25" s="148"/>
      <c r="AY25" s="149"/>
      <c r="AZ25" s="296">
        <v>7.91</v>
      </c>
      <c r="BA25" s="297">
        <v>35268</v>
      </c>
      <c r="BB25" s="284">
        <f>AZ25*BA25</f>
        <v>278969.88</v>
      </c>
    </row>
    <row r="26" spans="1:54" ht="12.75">
      <c r="A26" s="144"/>
      <c r="B26" s="144" t="s">
        <v>222</v>
      </c>
      <c r="C26" s="198">
        <v>109056121</v>
      </c>
      <c r="D26" s="323">
        <v>21336.6849</v>
      </c>
      <c r="E26" s="323">
        <v>21492.1023</v>
      </c>
      <c r="F26" s="164">
        <v>4800</v>
      </c>
      <c r="G26" s="324">
        <f aca="true" t="shared" si="1" ref="G26:G43">E26-D26</f>
        <v>155.41739999999845</v>
      </c>
      <c r="H26" s="164"/>
      <c r="I26" s="164">
        <f>ROUND(F26*G26+H26,0)-1</f>
        <v>746003</v>
      </c>
      <c r="J26" s="222" t="s">
        <v>548</v>
      </c>
      <c r="K26" s="223"/>
      <c r="L26" s="223"/>
      <c r="M26" s="191"/>
      <c r="N26" s="148"/>
      <c r="O26" s="148"/>
      <c r="P26" s="148"/>
      <c r="Q26" s="148"/>
      <c r="R26" s="209"/>
      <c r="S26" s="158" t="s">
        <v>166</v>
      </c>
      <c r="T26" s="148" t="s">
        <v>132</v>
      </c>
      <c r="U26" s="148"/>
      <c r="V26" s="148"/>
      <c r="W26" s="164">
        <f>SUM(X26:AA26)</f>
        <v>25706</v>
      </c>
      <c r="X26" s="187">
        <v>0</v>
      </c>
      <c r="Y26" s="169">
        <v>0</v>
      </c>
      <c r="Z26" s="164">
        <f>I45+I46</f>
        <v>25706</v>
      </c>
      <c r="AA26" s="169">
        <v>0</v>
      </c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02" t="s">
        <v>184</v>
      </c>
      <c r="AU26" s="150"/>
      <c r="AV26" s="150"/>
      <c r="AW26" s="150"/>
      <c r="AX26" s="160"/>
      <c r="AY26" s="161"/>
      <c r="AZ26" s="296">
        <f>(X14+AG14+AP14)/1000</f>
        <v>6150.762</v>
      </c>
      <c r="BA26" s="279">
        <v>17</v>
      </c>
      <c r="BB26" s="284">
        <f>AZ26*BA26</f>
        <v>104562.954</v>
      </c>
    </row>
    <row r="27" spans="1:54" ht="12.75">
      <c r="A27" s="143" t="s">
        <v>223</v>
      </c>
      <c r="B27" s="143" t="s">
        <v>235</v>
      </c>
      <c r="C27" s="197">
        <v>623125232</v>
      </c>
      <c r="D27" s="325">
        <v>9240.7087</v>
      </c>
      <c r="E27" s="325">
        <v>9240.7087</v>
      </c>
      <c r="F27" s="175">
        <v>1800</v>
      </c>
      <c r="G27" s="326">
        <f t="shared" si="1"/>
        <v>0</v>
      </c>
      <c r="H27" s="171"/>
      <c r="I27" s="175">
        <f>ROUND(G27*F27,0)</f>
        <v>0</v>
      </c>
      <c r="J27" s="120"/>
      <c r="K27" s="160"/>
      <c r="L27" s="160"/>
      <c r="M27" s="160"/>
      <c r="N27" s="160"/>
      <c r="O27" s="160"/>
      <c r="P27" s="190"/>
      <c r="Q27" s="238"/>
      <c r="R27" s="237"/>
      <c r="S27" s="179"/>
      <c r="T27" s="160"/>
      <c r="U27" s="160"/>
      <c r="V27" s="160"/>
      <c r="W27" s="180"/>
      <c r="X27" s="180"/>
      <c r="Y27" s="181"/>
      <c r="Z27" s="180"/>
      <c r="AA27" s="181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03" t="s">
        <v>185</v>
      </c>
      <c r="AU27" s="148"/>
      <c r="AV27" s="148"/>
      <c r="AW27" s="148"/>
      <c r="AX27" s="146"/>
      <c r="AY27" s="147"/>
      <c r="AZ27" s="296">
        <v>2.26</v>
      </c>
      <c r="BA27" s="279">
        <v>35268</v>
      </c>
      <c r="BB27" s="279">
        <f>AZ27*BA27</f>
        <v>79705.68</v>
      </c>
    </row>
    <row r="28" spans="1:54" ht="12.75">
      <c r="A28" s="144"/>
      <c r="B28" s="144" t="s">
        <v>222</v>
      </c>
      <c r="C28" s="169"/>
      <c r="D28" s="228"/>
      <c r="E28" s="228"/>
      <c r="F28" s="164"/>
      <c r="G28" s="227"/>
      <c r="H28" s="169"/>
      <c r="I28" s="164"/>
      <c r="J28" s="160" t="s">
        <v>279</v>
      </c>
      <c r="K28" s="160"/>
      <c r="L28" s="264"/>
      <c r="M28" s="181"/>
      <c r="N28" s="265"/>
      <c r="O28" s="265"/>
      <c r="P28" s="188"/>
      <c r="Q28" s="160"/>
      <c r="R28" s="190"/>
      <c r="S28" s="120"/>
      <c r="T28" s="120"/>
      <c r="U28" s="120"/>
      <c r="V28" s="120"/>
      <c r="W28" s="120"/>
      <c r="X28" s="120"/>
      <c r="Y28" s="120"/>
      <c r="Z28" s="120"/>
      <c r="AA28" s="120"/>
      <c r="AB28" s="120" t="s">
        <v>447</v>
      </c>
      <c r="AC28" s="120"/>
      <c r="AD28" s="120"/>
      <c r="AE28" s="120"/>
      <c r="AF28" s="120"/>
      <c r="AG28" s="120" t="s">
        <v>450</v>
      </c>
      <c r="AH28" s="120"/>
      <c r="AI28" s="120" t="s">
        <v>451</v>
      </c>
      <c r="AJ28" s="120"/>
      <c r="AK28" s="120" t="s">
        <v>447</v>
      </c>
      <c r="AL28" s="120"/>
      <c r="AM28" s="120"/>
      <c r="AN28" s="120"/>
      <c r="AO28" s="120"/>
      <c r="AP28" s="120" t="s">
        <v>151</v>
      </c>
      <c r="AQ28" s="120"/>
      <c r="AR28" s="120" t="s">
        <v>152</v>
      </c>
      <c r="AS28" s="120"/>
      <c r="AT28" s="159" t="s">
        <v>186</v>
      </c>
      <c r="AU28" s="160"/>
      <c r="AV28" s="160"/>
      <c r="AW28" s="160"/>
      <c r="AX28" s="146"/>
      <c r="AY28" s="147"/>
      <c r="AZ28" s="296">
        <f>(Z14+AI14+AR14)/1000</f>
        <v>1036.231</v>
      </c>
      <c r="BA28" s="279">
        <v>17</v>
      </c>
      <c r="BB28" s="284">
        <f>AZ28*BA28</f>
        <v>17615.927</v>
      </c>
    </row>
    <row r="29" spans="1:54" ht="12.75">
      <c r="A29" s="143" t="s">
        <v>225</v>
      </c>
      <c r="B29" s="143" t="s">
        <v>236</v>
      </c>
      <c r="C29" s="197">
        <v>623125667</v>
      </c>
      <c r="D29" s="325">
        <v>10745.1681</v>
      </c>
      <c r="E29" s="325">
        <v>10985.6802</v>
      </c>
      <c r="F29" s="175">
        <v>1800</v>
      </c>
      <c r="G29" s="326">
        <f t="shared" si="1"/>
        <v>240.51209999999992</v>
      </c>
      <c r="H29" s="171"/>
      <c r="I29" s="175">
        <f>ROUND(G29*F29,0)</f>
        <v>432922</v>
      </c>
      <c r="J29" s="160"/>
      <c r="K29" s="160"/>
      <c r="L29" s="181"/>
      <c r="M29" s="181"/>
      <c r="N29" s="188"/>
      <c r="O29" s="188"/>
      <c r="P29" s="188"/>
      <c r="Q29" s="160"/>
      <c r="R29" s="190"/>
      <c r="S29" s="120"/>
      <c r="T29" s="120"/>
      <c r="U29" s="120"/>
      <c r="V29" s="120"/>
      <c r="W29" s="120"/>
      <c r="X29" s="120"/>
      <c r="Y29" s="120"/>
      <c r="Z29" s="120"/>
      <c r="AA29" s="120"/>
      <c r="AB29" s="120" t="s">
        <v>527</v>
      </c>
      <c r="AC29" s="120"/>
      <c r="AD29" s="120"/>
      <c r="AE29" s="120"/>
      <c r="AF29" s="120"/>
      <c r="AG29" s="120" t="s">
        <v>150</v>
      </c>
      <c r="AH29" s="120"/>
      <c r="AI29" s="120"/>
      <c r="AJ29" s="120"/>
      <c r="AK29" s="120" t="s">
        <v>527</v>
      </c>
      <c r="AL29" s="120"/>
      <c r="AM29" s="120"/>
      <c r="AN29" s="120"/>
      <c r="AO29" s="120"/>
      <c r="AP29" s="120" t="s">
        <v>150</v>
      </c>
      <c r="AQ29" s="120"/>
      <c r="AR29" s="120"/>
      <c r="AS29" s="120"/>
      <c r="AT29" s="145"/>
      <c r="AU29" s="146"/>
      <c r="AV29" s="146"/>
      <c r="AW29" s="146"/>
      <c r="AX29" s="146"/>
      <c r="AY29" s="147"/>
      <c r="AZ29" s="280"/>
      <c r="BA29" s="287"/>
      <c r="BB29" s="284"/>
    </row>
    <row r="30" spans="1:54" ht="12.75">
      <c r="A30" s="144"/>
      <c r="B30" s="144" t="s">
        <v>222</v>
      </c>
      <c r="C30" s="169"/>
      <c r="D30" s="228"/>
      <c r="E30" s="228"/>
      <c r="F30" s="164"/>
      <c r="G30" s="227"/>
      <c r="H30" s="169"/>
      <c r="I30" s="164"/>
      <c r="J30" s="160"/>
      <c r="K30" s="160"/>
      <c r="L30" s="181"/>
      <c r="M30" s="181"/>
      <c r="N30" s="188"/>
      <c r="O30" s="188"/>
      <c r="P30" s="188"/>
      <c r="Q30" s="160"/>
      <c r="R30" s="19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45"/>
      <c r="AU30" s="146"/>
      <c r="AV30" s="146"/>
      <c r="AW30" s="146"/>
      <c r="AX30" s="146"/>
      <c r="AY30" s="147"/>
      <c r="AZ30" s="280"/>
      <c r="BA30" s="287"/>
      <c r="BB30" s="284"/>
    </row>
    <row r="31" spans="1:54" ht="12.75">
      <c r="A31" s="143" t="s">
        <v>226</v>
      </c>
      <c r="B31" s="143" t="s">
        <v>237</v>
      </c>
      <c r="C31" s="197">
        <v>623126370</v>
      </c>
      <c r="D31" s="325">
        <v>2895.7805</v>
      </c>
      <c r="E31" s="325">
        <v>2949.1295</v>
      </c>
      <c r="F31" s="175">
        <v>4800</v>
      </c>
      <c r="G31" s="326">
        <f t="shared" si="1"/>
        <v>53.34900000000016</v>
      </c>
      <c r="H31" s="171"/>
      <c r="I31" s="175">
        <f>ROUND(G31*F31,0)</f>
        <v>256075</v>
      </c>
      <c r="J31" s="160"/>
      <c r="K31" s="160"/>
      <c r="L31" s="264"/>
      <c r="M31" s="181"/>
      <c r="N31" s="265" t="s">
        <v>280</v>
      </c>
      <c r="O31" s="265"/>
      <c r="P31" s="188"/>
      <c r="Q31" s="160"/>
      <c r="R31" s="190"/>
      <c r="S31" s="120" t="s">
        <v>447</v>
      </c>
      <c r="T31" s="120"/>
      <c r="U31" s="120"/>
      <c r="V31" s="120"/>
      <c r="W31" s="120"/>
      <c r="X31" s="120" t="s">
        <v>450</v>
      </c>
      <c r="Y31" s="120"/>
      <c r="Z31" s="120" t="s">
        <v>451</v>
      </c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45"/>
      <c r="AU31" s="146"/>
      <c r="AV31" s="146"/>
      <c r="AW31" s="146"/>
      <c r="AX31" s="146"/>
      <c r="AY31" s="147"/>
      <c r="AZ31" s="280"/>
      <c r="BA31" s="287"/>
      <c r="BB31" s="284"/>
    </row>
    <row r="32" spans="1:54" ht="12.75">
      <c r="A32" s="144"/>
      <c r="B32" s="144" t="s">
        <v>222</v>
      </c>
      <c r="C32" s="169"/>
      <c r="D32" s="228"/>
      <c r="E32" s="228"/>
      <c r="F32" s="164"/>
      <c r="G32" s="227"/>
      <c r="H32" s="169"/>
      <c r="I32" s="164"/>
      <c r="J32" s="160"/>
      <c r="K32" s="160"/>
      <c r="L32" s="181"/>
      <c r="M32" s="181"/>
      <c r="N32" s="265" t="s">
        <v>529</v>
      </c>
      <c r="O32" s="265"/>
      <c r="P32" s="188"/>
      <c r="Q32" s="160"/>
      <c r="R32" s="190"/>
      <c r="S32" s="120" t="s">
        <v>527</v>
      </c>
      <c r="T32" s="120"/>
      <c r="U32" s="120"/>
      <c r="V32" s="120"/>
      <c r="W32" s="120"/>
      <c r="X32" s="120" t="s">
        <v>150</v>
      </c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45" t="s">
        <v>432</v>
      </c>
      <c r="AU32" s="146"/>
      <c r="AV32" s="146"/>
      <c r="AW32" s="146"/>
      <c r="AX32" s="146"/>
      <c r="AY32" s="147"/>
      <c r="AZ32" s="280"/>
      <c r="BA32" s="298"/>
      <c r="BB32" s="279"/>
    </row>
    <row r="33" spans="1:54" ht="12.75">
      <c r="A33" s="143" t="s">
        <v>227</v>
      </c>
      <c r="B33" s="143" t="s">
        <v>238</v>
      </c>
      <c r="C33" s="197">
        <v>623125137</v>
      </c>
      <c r="D33" s="325">
        <v>2202.709</v>
      </c>
      <c r="E33" s="325">
        <v>2202.709</v>
      </c>
      <c r="F33" s="175">
        <v>4800</v>
      </c>
      <c r="G33" s="326">
        <f t="shared" si="1"/>
        <v>0</v>
      </c>
      <c r="H33" s="171"/>
      <c r="I33" s="175">
        <f>ROUND(G33*F33,0)</f>
        <v>0</v>
      </c>
      <c r="J33" s="160"/>
      <c r="K33" s="160"/>
      <c r="L33" s="264"/>
      <c r="M33" s="181"/>
      <c r="N33" s="265" t="s">
        <v>563</v>
      </c>
      <c r="O33" s="265"/>
      <c r="P33" s="188"/>
      <c r="Q33" s="160"/>
      <c r="R33" s="190"/>
      <c r="S33" s="120"/>
      <c r="T33" s="120"/>
      <c r="U33" s="120"/>
      <c r="V33" s="120"/>
      <c r="W33" s="120"/>
      <c r="X33" s="120"/>
      <c r="Y33" s="120"/>
      <c r="Z33" s="120"/>
      <c r="AA33" s="120"/>
      <c r="AB33" s="120" t="s">
        <v>149</v>
      </c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45" t="s">
        <v>430</v>
      </c>
      <c r="AU33" s="146"/>
      <c r="AV33" s="146"/>
      <c r="AW33" s="146"/>
      <c r="AX33" s="146"/>
      <c r="AY33" s="147"/>
      <c r="AZ33" s="280"/>
      <c r="BA33" s="287"/>
      <c r="BB33" s="279"/>
    </row>
    <row r="34" spans="1:54" ht="12.75">
      <c r="A34" s="144"/>
      <c r="B34" s="144" t="s">
        <v>222</v>
      </c>
      <c r="C34" s="169"/>
      <c r="D34" s="228"/>
      <c r="E34" s="228"/>
      <c r="F34" s="164"/>
      <c r="G34" s="227"/>
      <c r="H34" s="169"/>
      <c r="I34" s="164"/>
      <c r="J34" s="160"/>
      <c r="K34" s="160"/>
      <c r="L34" s="181"/>
      <c r="M34" s="181"/>
      <c r="N34" s="265"/>
      <c r="O34" s="265"/>
      <c r="P34" s="188"/>
      <c r="Q34" s="160"/>
      <c r="R34" s="190"/>
      <c r="S34" s="120"/>
      <c r="T34" s="120"/>
      <c r="U34" s="120"/>
      <c r="V34" s="120"/>
      <c r="W34" s="120"/>
      <c r="X34" s="120"/>
      <c r="Y34" s="120"/>
      <c r="Z34" s="120"/>
      <c r="AA34" s="120"/>
      <c r="AB34" s="120" t="s">
        <v>18</v>
      </c>
      <c r="AC34" s="120"/>
      <c r="AD34" s="120"/>
      <c r="AE34" s="120"/>
      <c r="AF34" s="120"/>
      <c r="AG34" s="120"/>
      <c r="AH34" s="120"/>
      <c r="AI34" s="120"/>
      <c r="AJ34" s="120"/>
      <c r="AK34" s="120" t="s">
        <v>149</v>
      </c>
      <c r="AL34" s="120"/>
      <c r="AM34" s="120"/>
      <c r="AN34" s="120"/>
      <c r="AO34" s="120"/>
      <c r="AP34" s="120"/>
      <c r="AQ34" s="120"/>
      <c r="AR34" s="120"/>
      <c r="AS34" s="120"/>
      <c r="AT34" s="145" t="s">
        <v>437</v>
      </c>
      <c r="AU34" s="146"/>
      <c r="AV34" s="146"/>
      <c r="AW34" s="146"/>
      <c r="AX34" s="146"/>
      <c r="AY34" s="147"/>
      <c r="AZ34" s="280"/>
      <c r="BA34" s="293"/>
      <c r="BB34" s="279"/>
    </row>
    <row r="35" spans="1:54" ht="12.75">
      <c r="A35" s="143" t="s">
        <v>228</v>
      </c>
      <c r="B35" s="143" t="s">
        <v>239</v>
      </c>
      <c r="C35" s="197">
        <v>623125142</v>
      </c>
      <c r="D35" s="325">
        <v>14246.7589</v>
      </c>
      <c r="E35" s="325">
        <v>14490.2672</v>
      </c>
      <c r="F35" s="175">
        <v>2400</v>
      </c>
      <c r="G35" s="326">
        <f t="shared" si="1"/>
        <v>243.5082999999995</v>
      </c>
      <c r="H35" s="171"/>
      <c r="I35" s="175">
        <f>ROUND(G35*F35,0)</f>
        <v>584420</v>
      </c>
      <c r="J35" s="160"/>
      <c r="K35" s="160"/>
      <c r="L35" s="264"/>
      <c r="M35" s="181"/>
      <c r="N35" s="266" t="s">
        <v>283</v>
      </c>
      <c r="O35" s="266"/>
      <c r="P35" s="188"/>
      <c r="Q35" s="160"/>
      <c r="R35" s="190"/>
      <c r="S35" s="120"/>
      <c r="T35" s="120"/>
      <c r="U35" s="120"/>
      <c r="V35" s="120"/>
      <c r="W35" s="120"/>
      <c r="X35" s="120"/>
      <c r="Y35" s="120"/>
      <c r="Z35" s="120"/>
      <c r="AA35" s="120"/>
      <c r="AB35" s="120" t="s">
        <v>167</v>
      </c>
      <c r="AC35" s="120"/>
      <c r="AD35" s="120"/>
      <c r="AE35" s="120"/>
      <c r="AF35" s="120"/>
      <c r="AG35" s="120" t="s">
        <v>134</v>
      </c>
      <c r="AH35" s="120"/>
      <c r="AI35" s="120" t="s">
        <v>133</v>
      </c>
      <c r="AJ35" s="120"/>
      <c r="AK35" s="120" t="s">
        <v>462</v>
      </c>
      <c r="AL35" s="120"/>
      <c r="AM35" s="120"/>
      <c r="AN35" s="120"/>
      <c r="AO35" s="120"/>
      <c r="AP35" s="120"/>
      <c r="AQ35" s="120" t="s">
        <v>463</v>
      </c>
      <c r="AR35" s="120"/>
      <c r="AS35" s="120"/>
      <c r="AT35" s="145" t="s">
        <v>430</v>
      </c>
      <c r="AU35" s="146"/>
      <c r="AV35" s="146"/>
      <c r="AW35" s="146"/>
      <c r="AX35" s="146"/>
      <c r="AY35" s="147"/>
      <c r="AZ35" s="280"/>
      <c r="BA35" s="293"/>
      <c r="BB35" s="279"/>
    </row>
    <row r="36" spans="1:54" ht="12.75">
      <c r="A36" s="144"/>
      <c r="B36" s="144" t="s">
        <v>222</v>
      </c>
      <c r="C36" s="169"/>
      <c r="D36" s="228"/>
      <c r="E36" s="228"/>
      <c r="F36" s="164"/>
      <c r="G36" s="227"/>
      <c r="H36" s="169"/>
      <c r="I36" s="164"/>
      <c r="J36" s="160"/>
      <c r="K36" s="239"/>
      <c r="L36" s="181"/>
      <c r="M36" s="181"/>
      <c r="N36" s="267" t="s">
        <v>281</v>
      </c>
      <c r="O36" s="188"/>
      <c r="P36" s="188"/>
      <c r="Q36" s="160"/>
      <c r="R36" s="190"/>
      <c r="S36" s="120"/>
      <c r="T36" s="120"/>
      <c r="U36" s="120"/>
      <c r="V36" s="120"/>
      <c r="W36" s="120"/>
      <c r="X36" s="120"/>
      <c r="Y36" s="120"/>
      <c r="Z36" s="120"/>
      <c r="AA36" s="120"/>
      <c r="AB36" s="120" t="s">
        <v>188</v>
      </c>
      <c r="AC36" s="120"/>
      <c r="AD36" s="120"/>
      <c r="AE36" s="120"/>
      <c r="AF36" s="120"/>
      <c r="AG36" s="120" t="s">
        <v>150</v>
      </c>
      <c r="AH36" s="120"/>
      <c r="AI36" s="120"/>
      <c r="AJ36" s="120"/>
      <c r="AK36" s="120"/>
      <c r="AL36" s="120"/>
      <c r="AM36" s="120"/>
      <c r="AN36" s="120"/>
      <c r="AO36" s="120"/>
      <c r="AP36" s="120"/>
      <c r="AQ36" s="120" t="s">
        <v>150</v>
      </c>
      <c r="AR36" s="120"/>
      <c r="AS36" s="120"/>
      <c r="AT36" s="145" t="s">
        <v>430</v>
      </c>
      <c r="AU36" s="146"/>
      <c r="AV36" s="146"/>
      <c r="AW36" s="146"/>
      <c r="AX36" s="146"/>
      <c r="AY36" s="147"/>
      <c r="AZ36" s="280"/>
      <c r="BA36" s="293"/>
      <c r="BB36" s="279"/>
    </row>
    <row r="37" spans="1:54" ht="12.75">
      <c r="A37" s="143" t="s">
        <v>229</v>
      </c>
      <c r="B37" s="143" t="s">
        <v>240</v>
      </c>
      <c r="C37" s="197">
        <v>623125205</v>
      </c>
      <c r="D37" s="325">
        <v>5190.4257</v>
      </c>
      <c r="E37" s="325">
        <v>5283.8812</v>
      </c>
      <c r="F37" s="175">
        <v>1800</v>
      </c>
      <c r="G37" s="326">
        <f t="shared" si="1"/>
        <v>93.45550000000003</v>
      </c>
      <c r="H37" s="171"/>
      <c r="I37" s="175">
        <f>ROUND(G37*F37,0)</f>
        <v>168220</v>
      </c>
      <c r="J37" s="120"/>
      <c r="K37" s="160"/>
      <c r="L37" s="160"/>
      <c r="M37" s="160"/>
      <c r="N37" s="160"/>
      <c r="O37" s="160"/>
      <c r="P37" s="190"/>
      <c r="Q37" s="236"/>
      <c r="R37" s="237"/>
      <c r="S37" s="120" t="s">
        <v>611</v>
      </c>
      <c r="T37" s="120"/>
      <c r="U37" s="120"/>
      <c r="V37" s="120"/>
      <c r="W37" s="120"/>
      <c r="X37" s="120" t="s">
        <v>450</v>
      </c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46" t="s">
        <v>323</v>
      </c>
      <c r="AU37" s="146"/>
      <c r="AV37" s="146"/>
      <c r="AW37" s="146"/>
      <c r="AX37" s="146"/>
      <c r="AY37" s="147"/>
      <c r="AZ37" s="280"/>
      <c r="BA37" s="287"/>
      <c r="BB37" s="279"/>
    </row>
    <row r="38" spans="1:54" ht="12.75">
      <c r="A38" s="144"/>
      <c r="B38" s="144" t="s">
        <v>222</v>
      </c>
      <c r="C38" s="169"/>
      <c r="D38" s="228"/>
      <c r="E38" s="228"/>
      <c r="F38" s="164"/>
      <c r="G38" s="227"/>
      <c r="H38" s="169"/>
      <c r="I38" s="164"/>
      <c r="J38" s="120"/>
      <c r="K38" s="160"/>
      <c r="L38" s="160"/>
      <c r="M38" s="160"/>
      <c r="N38" s="160"/>
      <c r="O38" s="160"/>
      <c r="P38" s="190"/>
      <c r="Q38" s="236"/>
      <c r="R38" s="237"/>
      <c r="S38" s="120"/>
      <c r="T38" s="120"/>
      <c r="U38" s="120"/>
      <c r="V38" s="120"/>
      <c r="W38" s="120"/>
      <c r="X38" s="120" t="s">
        <v>150</v>
      </c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45" t="s">
        <v>430</v>
      </c>
      <c r="AU38" s="146"/>
      <c r="AV38" s="146" t="s">
        <v>96</v>
      </c>
      <c r="AW38" s="146"/>
      <c r="AX38" s="146"/>
      <c r="AY38" s="147"/>
      <c r="AZ38" s="280"/>
      <c r="BA38" s="293"/>
      <c r="BB38" s="279"/>
    </row>
    <row r="39" spans="1:54" ht="12.75" customHeight="1">
      <c r="A39" s="143" t="s">
        <v>230</v>
      </c>
      <c r="B39" s="143" t="s">
        <v>241</v>
      </c>
      <c r="C39" s="197">
        <v>623123704</v>
      </c>
      <c r="D39" s="325">
        <v>8326.9374</v>
      </c>
      <c r="E39" s="325">
        <v>8646.7758</v>
      </c>
      <c r="F39" s="175">
        <v>1800</v>
      </c>
      <c r="G39" s="326">
        <f t="shared" si="1"/>
        <v>319.8383999999987</v>
      </c>
      <c r="H39" s="171"/>
      <c r="I39" s="175">
        <f>ROUND(G39*F39,0)</f>
        <v>575709</v>
      </c>
      <c r="J39" s="120"/>
      <c r="K39" s="160"/>
      <c r="L39" s="160"/>
      <c r="M39" s="160"/>
      <c r="N39" s="160"/>
      <c r="O39" s="160"/>
      <c r="P39" s="190"/>
      <c r="Q39" s="236"/>
      <c r="R39" s="237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45" t="s">
        <v>431</v>
      </c>
      <c r="AU39" s="146"/>
      <c r="AV39" s="146" t="s">
        <v>416</v>
      </c>
      <c r="AW39" s="146"/>
      <c r="AX39" s="146"/>
      <c r="AY39" s="147"/>
      <c r="AZ39" s="280"/>
      <c r="BA39" s="293"/>
      <c r="BB39" s="279"/>
    </row>
    <row r="40" spans="1:54" ht="12.75" customHeight="1">
      <c r="A40" s="144"/>
      <c r="B40" s="144" t="s">
        <v>222</v>
      </c>
      <c r="C40" s="169"/>
      <c r="D40" s="228"/>
      <c r="E40" s="228"/>
      <c r="F40" s="164"/>
      <c r="G40" s="227"/>
      <c r="H40" s="169"/>
      <c r="I40" s="164"/>
      <c r="J40" s="120"/>
      <c r="K40" s="160"/>
      <c r="L40" s="160"/>
      <c r="M40" s="160"/>
      <c r="N40" s="160"/>
      <c r="O40" s="160"/>
      <c r="P40" s="190"/>
      <c r="Q40" s="236"/>
      <c r="R40" s="237"/>
      <c r="S40" s="239"/>
      <c r="T40" s="268"/>
      <c r="U40" s="160"/>
      <c r="V40" s="160"/>
      <c r="W40" s="188"/>
      <c r="X40" s="188"/>
      <c r="Y40" s="269"/>
      <c r="Z40" s="160"/>
      <c r="AA40" s="19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45"/>
      <c r="AU40" s="146"/>
      <c r="AV40" s="146"/>
      <c r="AW40" s="146"/>
      <c r="AX40" s="146"/>
      <c r="AY40" s="147"/>
      <c r="AZ40" s="280"/>
      <c r="BA40" s="293"/>
      <c r="BB40" s="279"/>
    </row>
    <row r="41" spans="1:54" ht="12.75" customHeight="1">
      <c r="A41" s="143" t="s">
        <v>231</v>
      </c>
      <c r="B41" s="143" t="s">
        <v>242</v>
      </c>
      <c r="C41" s="197">
        <v>623125794</v>
      </c>
      <c r="D41" s="325">
        <v>149.6787</v>
      </c>
      <c r="E41" s="325">
        <v>169.9601</v>
      </c>
      <c r="F41" s="175">
        <v>1800</v>
      </c>
      <c r="G41" s="326">
        <f t="shared" si="1"/>
        <v>20.28140000000002</v>
      </c>
      <c r="H41" s="171"/>
      <c r="I41" s="175">
        <f>ROUND(G41*F41,0)-1</f>
        <v>36506</v>
      </c>
      <c r="J41" s="120"/>
      <c r="K41" s="160"/>
      <c r="L41" s="160"/>
      <c r="M41" s="160"/>
      <c r="N41" s="160"/>
      <c r="O41" s="160"/>
      <c r="P41" s="190"/>
      <c r="Q41" s="236"/>
      <c r="R41" s="237"/>
      <c r="S41" s="239"/>
      <c r="T41" s="268"/>
      <c r="U41" s="160"/>
      <c r="V41" s="160"/>
      <c r="W41" s="188"/>
      <c r="X41" s="188"/>
      <c r="Y41" s="269"/>
      <c r="Z41" s="160"/>
      <c r="AA41" s="19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45"/>
      <c r="AU41" s="146"/>
      <c r="AV41" s="146"/>
      <c r="AW41" s="146"/>
      <c r="AX41" s="146"/>
      <c r="AY41" s="147"/>
      <c r="AZ41" s="280"/>
      <c r="BA41" s="293"/>
      <c r="BB41" s="279"/>
    </row>
    <row r="42" spans="1:54" ht="12.75" customHeight="1">
      <c r="A42" s="144"/>
      <c r="B42" s="144" t="s">
        <v>222</v>
      </c>
      <c r="C42" s="169"/>
      <c r="D42" s="228"/>
      <c r="E42" s="228"/>
      <c r="F42" s="164"/>
      <c r="G42" s="227"/>
      <c r="H42" s="169"/>
      <c r="I42" s="164"/>
      <c r="J42" s="120"/>
      <c r="K42" s="160"/>
      <c r="L42" s="160"/>
      <c r="M42" s="160"/>
      <c r="N42" s="160"/>
      <c r="O42" s="160"/>
      <c r="P42" s="190"/>
      <c r="Q42" s="236"/>
      <c r="R42" s="237"/>
      <c r="S42" s="268"/>
      <c r="T42" s="239"/>
      <c r="U42" s="160"/>
      <c r="V42" s="160"/>
      <c r="W42" s="160"/>
      <c r="X42" s="160"/>
      <c r="Y42" s="160"/>
      <c r="Z42" s="160"/>
      <c r="AA42" s="19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45"/>
      <c r="AU42" s="146"/>
      <c r="AV42" s="146"/>
      <c r="AW42" s="146"/>
      <c r="AX42" s="146"/>
      <c r="AY42" s="147"/>
      <c r="AZ42" s="280"/>
      <c r="BA42" s="287"/>
      <c r="BB42" s="279"/>
    </row>
    <row r="43" spans="1:54" ht="12.75">
      <c r="A43" s="143" t="s">
        <v>232</v>
      </c>
      <c r="B43" s="143" t="s">
        <v>243</v>
      </c>
      <c r="C43" s="197">
        <v>623125736</v>
      </c>
      <c r="D43" s="325">
        <v>4452.9495</v>
      </c>
      <c r="E43" s="325">
        <v>4588.1491</v>
      </c>
      <c r="F43" s="175">
        <v>1200</v>
      </c>
      <c r="G43" s="326">
        <f t="shared" si="1"/>
        <v>135.19959999999992</v>
      </c>
      <c r="H43" s="171"/>
      <c r="I43" s="175">
        <f>ROUND(G43*F43,0)</f>
        <v>162240</v>
      </c>
      <c r="J43" s="120"/>
      <c r="K43" s="160"/>
      <c r="L43" s="160"/>
      <c r="M43" s="160"/>
      <c r="N43" s="160"/>
      <c r="O43" s="160"/>
      <c r="P43" s="190"/>
      <c r="Q43" s="236"/>
      <c r="R43" s="237"/>
      <c r="S43" s="239"/>
      <c r="T43" s="268"/>
      <c r="U43" s="160"/>
      <c r="V43" s="160"/>
      <c r="W43" s="188"/>
      <c r="X43" s="188"/>
      <c r="Y43" s="269"/>
      <c r="Z43" s="160"/>
      <c r="AA43" s="19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45" t="s">
        <v>323</v>
      </c>
      <c r="AU43" s="146"/>
      <c r="AV43" s="146"/>
      <c r="AW43" s="146"/>
      <c r="AX43" s="146"/>
      <c r="AY43" s="147"/>
      <c r="AZ43" s="280"/>
      <c r="BA43" s="293"/>
      <c r="BB43" s="279"/>
    </row>
    <row r="44" spans="1:54" ht="12.75">
      <c r="A44" s="144"/>
      <c r="B44" s="144" t="s">
        <v>222</v>
      </c>
      <c r="C44" s="168"/>
      <c r="D44" s="228"/>
      <c r="E44" s="228"/>
      <c r="F44" s="164"/>
      <c r="G44" s="227"/>
      <c r="H44" s="169"/>
      <c r="I44" s="164"/>
      <c r="J44" s="160"/>
      <c r="K44" s="160"/>
      <c r="L44" s="160"/>
      <c r="M44" s="160"/>
      <c r="N44" s="160"/>
      <c r="O44" s="160"/>
      <c r="P44" s="190"/>
      <c r="Q44" s="236"/>
      <c r="R44" s="237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45"/>
      <c r="AU44" s="146"/>
      <c r="AV44" s="146"/>
      <c r="AW44" s="146"/>
      <c r="AX44" s="146"/>
      <c r="AY44" s="147"/>
      <c r="AZ44" s="280"/>
      <c r="BA44" s="287"/>
      <c r="BB44" s="279"/>
    </row>
    <row r="45" spans="1:54" ht="12.75">
      <c r="A45" s="143" t="s">
        <v>233</v>
      </c>
      <c r="B45" s="145" t="s">
        <v>234</v>
      </c>
      <c r="C45" s="197">
        <v>1110171156</v>
      </c>
      <c r="D45" s="325">
        <v>13316.7792</v>
      </c>
      <c r="E45" s="325">
        <v>13959.4396</v>
      </c>
      <c r="F45" s="175">
        <v>40</v>
      </c>
      <c r="G45" s="326">
        <f>E45-D45</f>
        <v>642.6603999999988</v>
      </c>
      <c r="H45" s="171"/>
      <c r="I45" s="175">
        <f>ROUND(G45*F45,0)</f>
        <v>25706</v>
      </c>
      <c r="J45" s="160"/>
      <c r="K45" s="160"/>
      <c r="L45" s="160"/>
      <c r="M45" s="160"/>
      <c r="N45" s="160"/>
      <c r="O45" s="160"/>
      <c r="P45" s="190"/>
      <c r="Q45" s="238"/>
      <c r="R45" s="237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45" t="s">
        <v>3</v>
      </c>
      <c r="AU45" s="146"/>
      <c r="AV45" s="146"/>
      <c r="AW45" s="146"/>
      <c r="AX45" s="146"/>
      <c r="AY45" s="147"/>
      <c r="AZ45" s="280"/>
      <c r="BA45" s="287"/>
      <c r="BB45" s="279"/>
    </row>
    <row r="46" spans="1:54" ht="12.75">
      <c r="A46" s="144"/>
      <c r="B46" s="103" t="s">
        <v>222</v>
      </c>
      <c r="C46" s="198"/>
      <c r="D46" s="378"/>
      <c r="E46" s="325"/>
      <c r="F46" s="175"/>
      <c r="G46" s="326"/>
      <c r="H46" s="171"/>
      <c r="I46" s="175"/>
      <c r="J46" s="160"/>
      <c r="K46" s="160"/>
      <c r="L46" s="160"/>
      <c r="M46" s="160"/>
      <c r="N46" s="160"/>
      <c r="O46" s="160"/>
      <c r="P46" s="190"/>
      <c r="Q46" s="236"/>
      <c r="R46" s="237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45"/>
      <c r="AU46" s="146"/>
      <c r="AV46" s="146" t="s">
        <v>330</v>
      </c>
      <c r="AW46" s="146"/>
      <c r="AX46" s="146"/>
      <c r="AY46" s="147"/>
      <c r="AZ46" s="280"/>
      <c r="BA46" s="298"/>
      <c r="BB46" s="279"/>
    </row>
    <row r="47" spans="1:54" ht="12.75">
      <c r="A47" s="201"/>
      <c r="B47" s="150"/>
      <c r="C47" s="191"/>
      <c r="D47" s="199"/>
      <c r="E47" s="200"/>
      <c r="F47" s="200"/>
      <c r="G47" s="215" t="s">
        <v>244</v>
      </c>
      <c r="H47" s="151"/>
      <c r="I47" s="235">
        <f>ROUND((SUM(I25:I46)+I20),0)</f>
        <v>6955896</v>
      </c>
      <c r="J47" s="160"/>
      <c r="K47" s="160"/>
      <c r="L47" s="160"/>
      <c r="M47" s="160"/>
      <c r="N47" s="160"/>
      <c r="O47" s="160"/>
      <c r="P47" s="190"/>
      <c r="Q47" s="238"/>
      <c r="R47" s="237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45"/>
      <c r="AU47" s="146"/>
      <c r="AV47" s="146"/>
      <c r="AW47" s="146"/>
      <c r="AX47" s="146"/>
      <c r="AY47" s="147"/>
      <c r="AZ47" s="280"/>
      <c r="BA47" s="287"/>
      <c r="BB47" s="279"/>
    </row>
    <row r="48" spans="1:54" ht="12.75">
      <c r="A48" s="143" t="s">
        <v>247</v>
      </c>
      <c r="B48" s="145" t="s">
        <v>245</v>
      </c>
      <c r="C48" s="202"/>
      <c r="D48" s="202"/>
      <c r="E48" s="203"/>
      <c r="F48" s="203"/>
      <c r="G48" s="204"/>
      <c r="H48" s="146"/>
      <c r="I48" s="205"/>
      <c r="J48" s="160"/>
      <c r="K48" s="160"/>
      <c r="L48" s="160"/>
      <c r="M48" s="160"/>
      <c r="N48" s="160"/>
      <c r="O48" s="160"/>
      <c r="P48" s="190"/>
      <c r="Q48" s="236"/>
      <c r="R48" s="237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45"/>
      <c r="AU48" s="146"/>
      <c r="AV48" s="146"/>
      <c r="AW48" s="146"/>
      <c r="AX48" s="146"/>
      <c r="AY48" s="147"/>
      <c r="AZ48" s="280"/>
      <c r="BA48" s="298"/>
      <c r="BB48" s="279"/>
    </row>
    <row r="49" spans="1:54" ht="12.75">
      <c r="A49" s="173"/>
      <c r="B49" s="159" t="s">
        <v>246</v>
      </c>
      <c r="C49" s="206"/>
      <c r="D49" s="191"/>
      <c r="E49" s="207"/>
      <c r="F49" s="207"/>
      <c r="G49" s="208"/>
      <c r="H49" s="148"/>
      <c r="I49" s="209"/>
      <c r="J49" s="160"/>
      <c r="K49" s="160"/>
      <c r="L49" s="239"/>
      <c r="M49" s="160"/>
      <c r="N49" s="160"/>
      <c r="O49" s="160"/>
      <c r="P49" s="190"/>
      <c r="Q49" s="236"/>
      <c r="R49" s="237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45"/>
      <c r="AU49" s="146"/>
      <c r="AV49" s="146" t="s">
        <v>330</v>
      </c>
      <c r="AW49" s="146"/>
      <c r="AX49" s="146"/>
      <c r="AY49" s="147"/>
      <c r="AZ49" s="280"/>
      <c r="BA49" s="293"/>
      <c r="BB49" s="279"/>
    </row>
    <row r="50" spans="1:54" ht="12.75">
      <c r="A50" s="145" t="s">
        <v>248</v>
      </c>
      <c r="B50" s="143" t="s">
        <v>484</v>
      </c>
      <c r="C50" s="304"/>
      <c r="D50" s="211"/>
      <c r="E50" s="211"/>
      <c r="F50" s="155"/>
      <c r="G50" s="212"/>
      <c r="H50" s="152"/>
      <c r="I50" s="155"/>
      <c r="J50" s="160"/>
      <c r="K50" s="160"/>
      <c r="L50" s="160"/>
      <c r="M50" s="160"/>
      <c r="N50" s="160"/>
      <c r="O50" s="160"/>
      <c r="P50" s="160"/>
      <c r="Q50" s="160"/>
      <c r="R50" s="16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50"/>
      <c r="AU50" s="150"/>
      <c r="AV50" s="270" t="s">
        <v>534</v>
      </c>
      <c r="AW50" s="150"/>
      <c r="AX50" s="150"/>
      <c r="AY50" s="151"/>
      <c r="AZ50" s="280"/>
      <c r="BA50" s="293"/>
      <c r="BB50" s="279"/>
    </row>
    <row r="51" spans="1:54" ht="12.75">
      <c r="A51" s="159"/>
      <c r="B51" s="173"/>
      <c r="C51" s="305">
        <v>611127627</v>
      </c>
      <c r="D51" s="302">
        <v>6257.9388</v>
      </c>
      <c r="E51" s="302">
        <v>6302.8772</v>
      </c>
      <c r="F51" s="155">
        <v>40</v>
      </c>
      <c r="G51" s="252">
        <f>E51-D51</f>
        <v>44.9384</v>
      </c>
      <c r="H51" s="155"/>
      <c r="I51" s="155">
        <f>ROUND(F51*G51+H51,0)-1</f>
        <v>1797</v>
      </c>
      <c r="J51" s="160"/>
      <c r="K51" s="160"/>
      <c r="L51" s="160"/>
      <c r="M51" s="160"/>
      <c r="N51" s="160"/>
      <c r="O51" s="160"/>
      <c r="P51" s="160"/>
      <c r="Q51" s="160"/>
      <c r="R51" s="16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60"/>
      <c r="AU51" s="120"/>
      <c r="AV51" s="120"/>
      <c r="AW51" s="120"/>
      <c r="AX51" s="120"/>
      <c r="AY51" s="120"/>
      <c r="AZ51" s="120"/>
      <c r="BA51" s="120"/>
      <c r="BB51" s="120"/>
    </row>
    <row r="52" spans="1:54" ht="12.75">
      <c r="A52" s="159"/>
      <c r="B52" s="144" t="s">
        <v>467</v>
      </c>
      <c r="C52" s="305"/>
      <c r="D52" s="306"/>
      <c r="E52" s="306"/>
      <c r="F52" s="155"/>
      <c r="G52" s="212"/>
      <c r="H52" s="155"/>
      <c r="I52" s="155"/>
      <c r="J52" s="160"/>
      <c r="K52" s="160"/>
      <c r="L52" s="160"/>
      <c r="M52" s="160"/>
      <c r="N52" s="160"/>
      <c r="O52" s="160"/>
      <c r="P52" s="160"/>
      <c r="Q52" s="160"/>
      <c r="R52" s="16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60"/>
      <c r="AU52" s="120"/>
      <c r="AV52" s="120"/>
      <c r="AW52" s="120"/>
      <c r="AX52" s="120"/>
      <c r="AY52" s="120"/>
      <c r="AZ52" s="120"/>
      <c r="BA52" s="120"/>
      <c r="BB52" s="120"/>
    </row>
    <row r="53" spans="1:54" ht="12.75">
      <c r="A53" s="143" t="s">
        <v>251</v>
      </c>
      <c r="B53" s="161"/>
      <c r="C53" s="213">
        <v>810120245</v>
      </c>
      <c r="D53" s="302">
        <v>3767.0951</v>
      </c>
      <c r="E53" s="302">
        <v>3771.6602</v>
      </c>
      <c r="F53" s="155">
        <v>3600</v>
      </c>
      <c r="G53" s="252">
        <f>E53-D53</f>
        <v>4.565099999999802</v>
      </c>
      <c r="H53" s="155"/>
      <c r="I53" s="155">
        <f>ROUND(F53*G53+H53,0)+1</f>
        <v>16435</v>
      </c>
      <c r="J53" s="160"/>
      <c r="K53" s="160"/>
      <c r="L53" s="160"/>
      <c r="M53" s="160"/>
      <c r="N53" s="160"/>
      <c r="O53" s="160"/>
      <c r="P53" s="160"/>
      <c r="Q53" s="160"/>
      <c r="R53" s="16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60" t="s">
        <v>612</v>
      </c>
      <c r="AU53" s="120"/>
      <c r="AV53" s="120"/>
      <c r="AW53" s="120"/>
      <c r="AX53" s="120"/>
      <c r="AY53" s="120"/>
      <c r="AZ53" s="120"/>
      <c r="BA53" s="120"/>
      <c r="BB53" s="120"/>
    </row>
    <row r="54" spans="1:54" ht="12.75">
      <c r="A54" s="173"/>
      <c r="B54" s="161" t="s">
        <v>494</v>
      </c>
      <c r="C54" s="213"/>
      <c r="D54" s="302"/>
      <c r="E54" s="302"/>
      <c r="F54" s="155"/>
      <c r="G54" s="252"/>
      <c r="H54" s="96"/>
      <c r="I54" s="155"/>
      <c r="J54" s="160"/>
      <c r="K54" s="160"/>
      <c r="L54" s="160"/>
      <c r="M54" s="160"/>
      <c r="N54" s="160"/>
      <c r="O54" s="160"/>
      <c r="P54" s="160"/>
      <c r="Q54" s="160"/>
      <c r="R54" s="16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60"/>
      <c r="AU54" s="120"/>
      <c r="AV54" s="120"/>
      <c r="AW54" s="120"/>
      <c r="AX54" s="120"/>
      <c r="AY54" s="120"/>
      <c r="AZ54" s="120"/>
      <c r="BA54" s="120"/>
      <c r="BB54" s="120"/>
    </row>
    <row r="55" spans="1:54" ht="12.75">
      <c r="A55" s="173"/>
      <c r="B55" s="161"/>
      <c r="C55" s="210">
        <v>4050284</v>
      </c>
      <c r="D55" s="230">
        <v>4346.9736</v>
      </c>
      <c r="E55" s="230">
        <v>4388.3577</v>
      </c>
      <c r="F55" s="155">
        <v>3600</v>
      </c>
      <c r="G55" s="253">
        <f>E55-D55</f>
        <v>41.38409999999931</v>
      </c>
      <c r="H55" s="96"/>
      <c r="I55" s="155">
        <f>ROUND(F55*G55+H55,0)</f>
        <v>148983</v>
      </c>
      <c r="J55" s="160"/>
      <c r="K55" s="160"/>
      <c r="L55" s="160"/>
      <c r="M55" s="160"/>
      <c r="N55" s="160"/>
      <c r="O55" s="160"/>
      <c r="P55" s="160"/>
      <c r="Q55" s="160"/>
      <c r="R55" s="16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60"/>
      <c r="AU55" s="120"/>
      <c r="AV55" s="120"/>
      <c r="AW55" s="120"/>
      <c r="AX55" s="120"/>
      <c r="AY55" s="120"/>
      <c r="AZ55" s="120"/>
      <c r="BA55" s="120"/>
      <c r="BB55" s="120"/>
    </row>
    <row r="56" spans="1:54" ht="12.75">
      <c r="A56" s="144"/>
      <c r="B56" s="149"/>
      <c r="C56" s="210"/>
      <c r="D56" s="230"/>
      <c r="E56" s="230"/>
      <c r="F56" s="155"/>
      <c r="G56" s="253"/>
      <c r="H56" s="96"/>
      <c r="I56" s="155"/>
      <c r="J56" s="160"/>
      <c r="K56" s="160"/>
      <c r="L56" s="160"/>
      <c r="M56" s="160"/>
      <c r="N56" s="160"/>
      <c r="O56" s="160"/>
      <c r="P56" s="160"/>
      <c r="Q56" s="160"/>
      <c r="R56" s="24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60"/>
      <c r="AU56" s="120"/>
      <c r="AV56" s="120"/>
      <c r="AW56" s="120"/>
      <c r="AX56" s="120"/>
      <c r="AY56" s="120"/>
      <c r="AZ56" s="120"/>
      <c r="BA56" s="120"/>
      <c r="BB56" s="120"/>
    </row>
    <row r="57" spans="1:54" ht="12.75">
      <c r="A57" s="173" t="s">
        <v>252</v>
      </c>
      <c r="B57" s="143" t="s">
        <v>218</v>
      </c>
      <c r="C57" s="152"/>
      <c r="D57" s="211"/>
      <c r="E57" s="211"/>
      <c r="F57" s="155"/>
      <c r="G57" s="212"/>
      <c r="H57" s="96"/>
      <c r="I57" s="155"/>
      <c r="J57" s="160"/>
      <c r="K57" s="120"/>
      <c r="L57" s="120"/>
      <c r="M57" s="120"/>
      <c r="N57" s="120"/>
      <c r="O57" s="120"/>
      <c r="P57" s="120"/>
      <c r="Q57" s="120"/>
      <c r="R57" s="241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60"/>
      <c r="AU57" s="120"/>
      <c r="AV57" s="120"/>
      <c r="AW57" s="120"/>
      <c r="AX57" s="120"/>
      <c r="AY57" s="120"/>
      <c r="AZ57" s="120"/>
      <c r="BA57" s="120"/>
      <c r="BB57" s="271"/>
    </row>
    <row r="58" spans="1:54" ht="12.75">
      <c r="A58" s="307"/>
      <c r="B58" s="173" t="s">
        <v>217</v>
      </c>
      <c r="C58" s="305">
        <v>611127492</v>
      </c>
      <c r="D58" s="302">
        <v>20839.5904</v>
      </c>
      <c r="E58" s="302">
        <v>21171.8172</v>
      </c>
      <c r="F58" s="155">
        <v>20</v>
      </c>
      <c r="G58" s="252">
        <f>E58-D58</f>
        <v>332.22680000000037</v>
      </c>
      <c r="H58" s="155"/>
      <c r="I58" s="155">
        <f>ROUND(F58*G58+H58,0)</f>
        <v>6645</v>
      </c>
      <c r="J58" s="16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60"/>
      <c r="AU58" s="120"/>
      <c r="AV58" s="120" t="s">
        <v>144</v>
      </c>
      <c r="AW58" s="120"/>
      <c r="AX58" s="120"/>
      <c r="AY58" s="120"/>
      <c r="AZ58" s="120"/>
      <c r="BA58" s="120"/>
      <c r="BB58" s="272">
        <f>BA9</f>
        <v>3.5242816301996087</v>
      </c>
    </row>
    <row r="59" spans="1:54" ht="12.75">
      <c r="A59" s="145" t="s">
        <v>253</v>
      </c>
      <c r="B59" s="143" t="s">
        <v>485</v>
      </c>
      <c r="C59" s="309"/>
      <c r="D59" s="211"/>
      <c r="E59" s="211"/>
      <c r="F59" s="155"/>
      <c r="G59" s="212"/>
      <c r="H59" s="96"/>
      <c r="I59" s="155"/>
      <c r="J59" s="160"/>
      <c r="K59" s="160"/>
      <c r="L59" s="160"/>
      <c r="M59" s="160"/>
      <c r="N59" s="160"/>
      <c r="O59" s="160"/>
      <c r="P59" s="160"/>
      <c r="Q59" s="160"/>
      <c r="R59" s="16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60"/>
      <c r="AU59" s="120"/>
      <c r="AV59" s="120"/>
      <c r="AW59" s="120"/>
      <c r="AX59" s="120"/>
      <c r="AY59" s="120"/>
      <c r="AZ59" s="120"/>
      <c r="BA59" s="120"/>
      <c r="BB59" s="120"/>
    </row>
    <row r="60" spans="1:54" ht="12.75">
      <c r="A60" s="308"/>
      <c r="B60" s="168" t="s">
        <v>546</v>
      </c>
      <c r="C60" s="305">
        <v>611127702</v>
      </c>
      <c r="D60" s="302">
        <v>32200.9712</v>
      </c>
      <c r="E60" s="302">
        <v>32284.4076</v>
      </c>
      <c r="F60" s="155">
        <v>60</v>
      </c>
      <c r="G60" s="252">
        <f>E60-D60</f>
        <v>83.43639999999868</v>
      </c>
      <c r="H60" s="96"/>
      <c r="I60" s="155">
        <f>ROUND(F60*G60+H60,0)</f>
        <v>5006</v>
      </c>
      <c r="J60" s="160"/>
      <c r="K60" s="160"/>
      <c r="L60" s="160"/>
      <c r="M60" s="160"/>
      <c r="N60" s="160"/>
      <c r="O60" s="160"/>
      <c r="P60" s="160"/>
      <c r="Q60" s="160"/>
      <c r="R60" s="16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60"/>
      <c r="AU60" s="160"/>
      <c r="AV60" s="160"/>
      <c r="AW60" s="160"/>
      <c r="AX60" s="160"/>
      <c r="AY60" s="160"/>
      <c r="AZ60" s="160"/>
      <c r="BA60" s="160"/>
      <c r="BB60" s="160"/>
    </row>
    <row r="61" spans="1:54" ht="13.5">
      <c r="A61" s="159"/>
      <c r="B61" s="168" t="s">
        <v>547</v>
      </c>
      <c r="C61" s="305">
        <v>611127555</v>
      </c>
      <c r="D61" s="302">
        <v>10686.4812</v>
      </c>
      <c r="E61" s="302">
        <v>11311.4924</v>
      </c>
      <c r="F61" s="155">
        <v>60</v>
      </c>
      <c r="G61" s="252">
        <f>E61-D61</f>
        <v>625.011199999999</v>
      </c>
      <c r="H61" s="96"/>
      <c r="I61" s="155">
        <f>ROUND(F61*G61+H61,0)</f>
        <v>37501</v>
      </c>
      <c r="J61" s="160"/>
      <c r="K61" s="160"/>
      <c r="L61" s="160"/>
      <c r="M61" s="160"/>
      <c r="N61" s="160"/>
      <c r="O61" s="242"/>
      <c r="P61" s="243"/>
      <c r="Q61" s="160"/>
      <c r="R61" s="16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60"/>
      <c r="AU61" s="160"/>
      <c r="AV61" s="160"/>
      <c r="AW61" s="160"/>
      <c r="AX61" s="160"/>
      <c r="AY61" s="242"/>
      <c r="AZ61" s="243"/>
      <c r="BA61" s="160"/>
      <c r="BB61" s="160"/>
    </row>
    <row r="62" spans="1:54" ht="12.75">
      <c r="A62" s="145" t="s">
        <v>258</v>
      </c>
      <c r="B62" s="143" t="s">
        <v>486</v>
      </c>
      <c r="C62" s="310"/>
      <c r="D62" s="232"/>
      <c r="E62" s="232"/>
      <c r="F62" s="155"/>
      <c r="G62" s="212"/>
      <c r="H62" s="96"/>
      <c r="I62" s="155"/>
      <c r="J62" s="160"/>
      <c r="K62" s="160"/>
      <c r="L62" s="160"/>
      <c r="M62" s="160"/>
      <c r="N62" s="160"/>
      <c r="O62" s="160"/>
      <c r="P62" s="160"/>
      <c r="Q62" s="160"/>
      <c r="R62" s="16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60"/>
      <c r="AU62" s="160"/>
      <c r="AV62" s="160"/>
      <c r="AW62" s="160"/>
      <c r="AX62" s="160"/>
      <c r="AY62" s="160"/>
      <c r="AZ62" s="160"/>
      <c r="BA62" s="160"/>
      <c r="BB62" s="160"/>
    </row>
    <row r="63" spans="1:54" ht="12.75">
      <c r="A63" s="308"/>
      <c r="B63" s="173"/>
      <c r="C63" s="305">
        <v>1110171163</v>
      </c>
      <c r="D63" s="302">
        <v>1246.4016</v>
      </c>
      <c r="E63" s="302">
        <v>1277.8488</v>
      </c>
      <c r="F63" s="155">
        <v>60</v>
      </c>
      <c r="G63" s="252">
        <f>E63-D63</f>
        <v>31.447200000000066</v>
      </c>
      <c r="H63" s="96"/>
      <c r="I63" s="155">
        <f>ROUND(F63*G63+H63,0)</f>
        <v>1887</v>
      </c>
      <c r="J63" s="243"/>
      <c r="K63" s="160"/>
      <c r="L63" s="160"/>
      <c r="M63" s="160"/>
      <c r="N63" s="160"/>
      <c r="O63" s="160"/>
      <c r="P63" s="189"/>
      <c r="Q63" s="160"/>
      <c r="R63" s="244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243"/>
      <c r="AU63" s="160"/>
      <c r="AV63" s="160"/>
      <c r="AW63" s="160"/>
      <c r="AX63" s="160"/>
      <c r="AY63" s="160"/>
      <c r="AZ63" s="189"/>
      <c r="BA63" s="160"/>
      <c r="BB63" s="244"/>
    </row>
    <row r="64" spans="1:54" ht="12.75">
      <c r="A64" s="159"/>
      <c r="B64" s="173"/>
      <c r="C64" s="305"/>
      <c r="D64" s="302"/>
      <c r="E64" s="302"/>
      <c r="F64" s="155"/>
      <c r="G64" s="252"/>
      <c r="H64" s="96"/>
      <c r="I64" s="155"/>
      <c r="J64" s="243"/>
      <c r="K64" s="160"/>
      <c r="L64" s="160"/>
      <c r="M64" s="160"/>
      <c r="N64" s="160"/>
      <c r="O64" s="160"/>
      <c r="P64" s="189"/>
      <c r="Q64" s="160"/>
      <c r="R64" s="244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243"/>
      <c r="AU64" s="160"/>
      <c r="AV64" s="160"/>
      <c r="AW64" s="160"/>
      <c r="AX64" s="160"/>
      <c r="AY64" s="160"/>
      <c r="AZ64" s="189"/>
      <c r="BA64" s="160"/>
      <c r="BB64" s="244"/>
    </row>
    <row r="65" spans="1:54" ht="12.75">
      <c r="A65" s="145" t="s">
        <v>260</v>
      </c>
      <c r="B65" s="143" t="s">
        <v>487</v>
      </c>
      <c r="C65" s="311"/>
      <c r="D65" s="232"/>
      <c r="E65" s="232"/>
      <c r="F65" s="155"/>
      <c r="G65" s="212"/>
      <c r="H65" s="96"/>
      <c r="I65" s="155"/>
      <c r="J65" s="243"/>
      <c r="K65" s="160"/>
      <c r="L65" s="160"/>
      <c r="M65" s="160"/>
      <c r="N65" s="160"/>
      <c r="O65" s="160"/>
      <c r="P65" s="189"/>
      <c r="Q65" s="160"/>
      <c r="R65" s="244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243"/>
      <c r="AU65" s="160"/>
      <c r="AV65" s="160"/>
      <c r="AW65" s="160"/>
      <c r="AX65" s="160"/>
      <c r="AY65" s="160"/>
      <c r="AZ65" s="189"/>
      <c r="BA65" s="160"/>
      <c r="BB65" s="244"/>
    </row>
    <row r="66" spans="1:54" ht="12.75">
      <c r="A66" s="159"/>
      <c r="B66" s="173"/>
      <c r="C66" s="305">
        <v>1110171170</v>
      </c>
      <c r="D66" s="302">
        <v>184.1328</v>
      </c>
      <c r="E66" s="302">
        <v>190.3596</v>
      </c>
      <c r="F66" s="155">
        <v>40</v>
      </c>
      <c r="G66" s="252">
        <f>E66-D66</f>
        <v>6.226799999999997</v>
      </c>
      <c r="H66" s="155"/>
      <c r="I66" s="155">
        <f>ROUND(F66*G66+H66,0)</f>
        <v>249</v>
      </c>
      <c r="J66" s="243"/>
      <c r="K66" s="160"/>
      <c r="L66" s="160"/>
      <c r="M66" s="160"/>
      <c r="N66" s="160"/>
      <c r="O66" s="160"/>
      <c r="P66" s="189"/>
      <c r="Q66" s="160"/>
      <c r="R66" s="244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243"/>
      <c r="AU66" s="160"/>
      <c r="AV66" s="160"/>
      <c r="AW66" s="160"/>
      <c r="AX66" s="160"/>
      <c r="AY66" s="160"/>
      <c r="AZ66" s="189"/>
      <c r="BA66" s="160"/>
      <c r="BB66" s="244"/>
    </row>
    <row r="67" spans="1:54" ht="12.75">
      <c r="A67" s="159"/>
      <c r="B67" s="173"/>
      <c r="C67" s="305"/>
      <c r="D67" s="302"/>
      <c r="E67" s="302"/>
      <c r="F67" s="155"/>
      <c r="G67" s="252"/>
      <c r="H67" s="155"/>
      <c r="I67" s="155"/>
      <c r="J67" s="16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60"/>
      <c r="AU67" s="160"/>
      <c r="AV67" s="160"/>
      <c r="AW67" s="160"/>
      <c r="AX67" s="160"/>
      <c r="AY67" s="160"/>
      <c r="AZ67" s="160"/>
      <c r="BA67" s="160"/>
      <c r="BB67" s="160"/>
    </row>
    <row r="68" spans="1:54" ht="12.75">
      <c r="A68" s="145" t="s">
        <v>261</v>
      </c>
      <c r="B68" s="143" t="s">
        <v>550</v>
      </c>
      <c r="C68" s="305">
        <v>611126342</v>
      </c>
      <c r="D68" s="302">
        <v>25782.5391</v>
      </c>
      <c r="E68" s="302">
        <v>25782.5391</v>
      </c>
      <c r="F68" s="155">
        <v>1800</v>
      </c>
      <c r="G68" s="252">
        <f>E68-D68</f>
        <v>0</v>
      </c>
      <c r="H68" s="155"/>
      <c r="I68" s="155">
        <f>ROUND(F68*G68+H68,0)</f>
        <v>0</v>
      </c>
      <c r="J68" s="160"/>
      <c r="K68" s="160"/>
      <c r="L68" s="160"/>
      <c r="M68" s="160"/>
      <c r="N68" s="160"/>
      <c r="O68" s="160"/>
      <c r="P68" s="160"/>
      <c r="Q68" s="160"/>
      <c r="R68" s="16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60"/>
      <c r="AU68" s="160"/>
      <c r="AV68" s="160"/>
      <c r="AW68" s="160"/>
      <c r="AX68" s="160"/>
      <c r="AY68" s="160"/>
      <c r="AZ68" s="160"/>
      <c r="BA68" s="160"/>
      <c r="BB68" s="160"/>
    </row>
    <row r="69" spans="1:54" ht="13.5">
      <c r="A69" s="159"/>
      <c r="B69" s="173" t="s">
        <v>551</v>
      </c>
      <c r="C69" s="305">
        <v>611126404</v>
      </c>
      <c r="D69" s="302">
        <v>589.8126</v>
      </c>
      <c r="E69" s="302">
        <v>596.9716</v>
      </c>
      <c r="F69" s="155">
        <v>1800</v>
      </c>
      <c r="G69" s="252">
        <f>E69-D69</f>
        <v>7.158999999999992</v>
      </c>
      <c r="H69" s="155"/>
      <c r="I69" s="155">
        <f>ROUND((F69*G69+H69),0)</f>
        <v>12886</v>
      </c>
      <c r="J69" s="160"/>
      <c r="K69" s="160"/>
      <c r="L69" s="160"/>
      <c r="M69" s="160"/>
      <c r="N69" s="160"/>
      <c r="O69" s="242"/>
      <c r="P69" s="243"/>
      <c r="Q69" s="160"/>
      <c r="R69" s="16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60"/>
      <c r="AU69" s="160"/>
      <c r="AV69" s="160"/>
      <c r="AW69" s="160"/>
      <c r="AX69" s="160"/>
      <c r="AY69" s="242"/>
      <c r="AZ69" s="243"/>
      <c r="BA69" s="160"/>
      <c r="BB69" s="160"/>
    </row>
    <row r="70" spans="1:54" ht="12.75">
      <c r="A70" s="103"/>
      <c r="B70" s="144" t="s">
        <v>509</v>
      </c>
      <c r="C70" s="305">
        <v>611126334</v>
      </c>
      <c r="D70" s="302">
        <v>2.3724</v>
      </c>
      <c r="E70" s="302">
        <v>2.3724</v>
      </c>
      <c r="F70" s="155">
        <v>1800</v>
      </c>
      <c r="G70" s="252">
        <f>E70-D70</f>
        <v>0</v>
      </c>
      <c r="H70" s="96"/>
      <c r="I70" s="155">
        <f>ROUND(F70*G70+H70,0)</f>
        <v>0</v>
      </c>
      <c r="J70" s="160"/>
      <c r="K70" s="160"/>
      <c r="L70" s="160"/>
      <c r="M70" s="160"/>
      <c r="N70" s="160"/>
      <c r="O70" s="160"/>
      <c r="P70" s="160"/>
      <c r="Q70" s="160"/>
      <c r="R70" s="16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60"/>
      <c r="AU70" s="160"/>
      <c r="AV70" s="160"/>
      <c r="AW70" s="160"/>
      <c r="AX70" s="160"/>
      <c r="AY70" s="160"/>
      <c r="AZ70" s="160"/>
      <c r="BA70" s="160"/>
      <c r="BB70" s="160"/>
    </row>
    <row r="71" spans="1:54" ht="12.75">
      <c r="A71" s="159" t="s">
        <v>477</v>
      </c>
      <c r="B71" s="173" t="s">
        <v>488</v>
      </c>
      <c r="C71" s="305">
        <v>611127724</v>
      </c>
      <c r="D71" s="302">
        <v>1927.136</v>
      </c>
      <c r="E71" s="302">
        <v>1958.712</v>
      </c>
      <c r="F71" s="155">
        <v>30</v>
      </c>
      <c r="G71" s="252">
        <f>E71-D71</f>
        <v>31.576000000000022</v>
      </c>
      <c r="H71" s="155"/>
      <c r="I71" s="155">
        <f>ROUND(F71*G71+H71,0)</f>
        <v>947</v>
      </c>
      <c r="J71" s="243"/>
      <c r="K71" s="160"/>
      <c r="L71" s="160"/>
      <c r="M71" s="160"/>
      <c r="N71" s="160"/>
      <c r="O71" s="160"/>
      <c r="P71" s="189"/>
      <c r="Q71" s="160"/>
      <c r="R71" s="244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243"/>
      <c r="AU71" s="160"/>
      <c r="AV71" s="160"/>
      <c r="AW71" s="160"/>
      <c r="AX71" s="160"/>
      <c r="AY71" s="160"/>
      <c r="AZ71" s="189"/>
      <c r="BA71" s="160"/>
      <c r="BB71" s="244"/>
    </row>
    <row r="72" spans="1:54" ht="12.75">
      <c r="A72" s="103"/>
      <c r="B72" s="173" t="s">
        <v>542</v>
      </c>
      <c r="C72" s="305"/>
      <c r="D72" s="306"/>
      <c r="E72" s="306"/>
      <c r="F72" s="155"/>
      <c r="G72" s="212"/>
      <c r="H72" s="155"/>
      <c r="I72" s="155"/>
      <c r="J72" s="243"/>
      <c r="K72" s="160"/>
      <c r="L72" s="160"/>
      <c r="M72" s="160"/>
      <c r="N72" s="160"/>
      <c r="O72" s="160"/>
      <c r="P72" s="189"/>
      <c r="Q72" s="160"/>
      <c r="R72" s="244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243"/>
      <c r="AU72" s="160"/>
      <c r="AV72" s="160"/>
      <c r="AW72" s="160"/>
      <c r="AX72" s="160"/>
      <c r="AY72" s="160"/>
      <c r="AZ72" s="189"/>
      <c r="BA72" s="160"/>
      <c r="BB72" s="244"/>
    </row>
    <row r="73" spans="1:54" ht="12.75">
      <c r="A73" s="96"/>
      <c r="B73" s="312"/>
      <c r="C73" s="171"/>
      <c r="D73" s="212"/>
      <c r="E73" s="212"/>
      <c r="F73" s="155"/>
      <c r="G73" s="212"/>
      <c r="H73" s="155"/>
      <c r="I73" s="155"/>
      <c r="J73" s="243"/>
      <c r="K73" s="160"/>
      <c r="L73" s="160"/>
      <c r="M73" s="160"/>
      <c r="N73" s="160"/>
      <c r="O73" s="160"/>
      <c r="P73" s="189"/>
      <c r="Q73" s="160"/>
      <c r="R73" s="244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243"/>
      <c r="AU73" s="160"/>
      <c r="AV73" s="160"/>
      <c r="AW73" s="160"/>
      <c r="AX73" s="160"/>
      <c r="AY73" s="160"/>
      <c r="AZ73" s="189"/>
      <c r="BA73" s="160"/>
      <c r="BB73" s="244"/>
    </row>
    <row r="74" spans="1:54" ht="12.75">
      <c r="A74" s="103"/>
      <c r="B74" s="148"/>
      <c r="C74" s="150"/>
      <c r="D74" s="150"/>
      <c r="E74" s="150"/>
      <c r="F74" s="150" t="s">
        <v>264</v>
      </c>
      <c r="G74" s="150"/>
      <c r="H74" s="151"/>
      <c r="I74" s="235">
        <f>ROUND((SUM(I50:I69)-I73),0)</f>
        <v>231389</v>
      </c>
      <c r="J74" s="243"/>
      <c r="K74" s="160"/>
      <c r="L74" s="160"/>
      <c r="M74" s="160"/>
      <c r="N74" s="160"/>
      <c r="O74" s="160"/>
      <c r="P74" s="189"/>
      <c r="Q74" s="160"/>
      <c r="R74" s="244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243"/>
      <c r="AU74" s="160"/>
      <c r="AV74" s="160"/>
      <c r="AW74" s="160"/>
      <c r="AX74" s="160"/>
      <c r="AY74" s="160"/>
      <c r="AZ74" s="189"/>
      <c r="BA74" s="160"/>
      <c r="BB74" s="244"/>
    </row>
    <row r="75" spans="1:54" ht="12.75">
      <c r="A75" s="102"/>
      <c r="B75" s="150"/>
      <c r="C75" s="150"/>
      <c r="D75" s="150"/>
      <c r="E75" s="150"/>
      <c r="F75" s="150"/>
      <c r="G75" s="150" t="s">
        <v>265</v>
      </c>
      <c r="H75" s="151"/>
      <c r="I75" s="235">
        <f>ROUND((I18+I20-I47-I74),0)</f>
        <v>5546498</v>
      </c>
      <c r="J75" s="160"/>
      <c r="K75" s="160">
        <f>I18+I20+I22-I47-I74</f>
        <v>5623338</v>
      </c>
      <c r="L75" s="160"/>
      <c r="M75" s="160"/>
      <c r="N75" s="160"/>
      <c r="O75" s="160"/>
      <c r="P75" s="190"/>
      <c r="Q75" s="160"/>
      <c r="R75" s="24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60"/>
      <c r="AU75" s="160"/>
      <c r="AV75" s="160"/>
      <c r="AW75" s="160"/>
      <c r="AX75" s="160"/>
      <c r="AY75" s="160"/>
      <c r="AZ75" s="190"/>
      <c r="BA75" s="160"/>
      <c r="BB75" s="240"/>
    </row>
    <row r="76" spans="1:54" ht="12.75">
      <c r="A76" s="96" t="s">
        <v>272</v>
      </c>
      <c r="B76" s="102" t="s">
        <v>266</v>
      </c>
      <c r="C76" s="150"/>
      <c r="D76" s="150"/>
      <c r="E76" s="150"/>
      <c r="F76" s="150"/>
      <c r="G76" s="150"/>
      <c r="H76" s="150"/>
      <c r="I76" s="151"/>
      <c r="J76" s="160"/>
      <c r="K76" s="160"/>
      <c r="L76" s="160"/>
      <c r="M76" s="160"/>
      <c r="N76" s="160"/>
      <c r="O76" s="160"/>
      <c r="P76" s="190"/>
      <c r="Q76" s="160"/>
      <c r="R76" s="24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60"/>
      <c r="AU76" s="160"/>
      <c r="AV76" s="160"/>
      <c r="AW76" s="160"/>
      <c r="AX76" s="160"/>
      <c r="AY76" s="160"/>
      <c r="AZ76" s="190"/>
      <c r="BA76" s="160"/>
      <c r="BB76" s="240"/>
    </row>
    <row r="77" spans="1:54" ht="12.75">
      <c r="A77" s="143" t="s">
        <v>270</v>
      </c>
      <c r="B77" s="143" t="s">
        <v>267</v>
      </c>
      <c r="C77" s="171">
        <v>18705639</v>
      </c>
      <c r="D77" s="234">
        <v>18914.2</v>
      </c>
      <c r="E77" s="234">
        <v>19051</v>
      </c>
      <c r="F77" s="175">
        <v>30</v>
      </c>
      <c r="G77" s="322">
        <f>E77-D77</f>
        <v>136.79999999999927</v>
      </c>
      <c r="H77" s="143">
        <v>1258</v>
      </c>
      <c r="I77" s="175">
        <f>F77*G77+H77</f>
        <v>5361.999999999978</v>
      </c>
      <c r="J77" s="160"/>
      <c r="K77" s="160"/>
      <c r="L77" s="160"/>
      <c r="M77" s="160"/>
      <c r="N77" s="160"/>
      <c r="O77" s="160"/>
      <c r="P77" s="190"/>
      <c r="Q77" s="160"/>
      <c r="R77" s="24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60"/>
      <c r="AU77" s="160"/>
      <c r="AV77" s="160"/>
      <c r="AW77" s="160"/>
      <c r="AX77" s="160"/>
      <c r="AY77" s="160"/>
      <c r="AZ77" s="190"/>
      <c r="BA77" s="160"/>
      <c r="BB77" s="240"/>
    </row>
    <row r="78" spans="1:54" ht="12.75">
      <c r="A78" s="144"/>
      <c r="B78" s="144" t="s">
        <v>268</v>
      </c>
      <c r="C78" s="169"/>
      <c r="D78" s="144"/>
      <c r="E78" s="144"/>
      <c r="F78" s="164"/>
      <c r="G78" s="144"/>
      <c r="H78" s="144"/>
      <c r="I78" s="144"/>
      <c r="J78" s="160"/>
      <c r="K78" s="160"/>
      <c r="L78" s="160"/>
      <c r="M78" s="160"/>
      <c r="N78" s="160"/>
      <c r="O78" s="160"/>
      <c r="P78" s="190"/>
      <c r="Q78" s="160"/>
      <c r="R78" s="24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60"/>
      <c r="AU78" s="160"/>
      <c r="AV78" s="160"/>
      <c r="AW78" s="160"/>
      <c r="AX78" s="160"/>
      <c r="AY78" s="160"/>
      <c r="AZ78" s="190"/>
      <c r="BA78" s="160"/>
      <c r="BB78" s="240"/>
    </row>
    <row r="79" spans="1:54" ht="12.75">
      <c r="A79" s="143" t="s">
        <v>271</v>
      </c>
      <c r="B79" s="143" t="s">
        <v>269</v>
      </c>
      <c r="C79" s="171">
        <v>18705843</v>
      </c>
      <c r="D79" s="234">
        <v>1070.8</v>
      </c>
      <c r="E79" s="234">
        <v>1070.8</v>
      </c>
      <c r="F79" s="175">
        <v>30</v>
      </c>
      <c r="G79" s="233">
        <f>E79-D79</f>
        <v>0</v>
      </c>
      <c r="H79" s="143">
        <v>0</v>
      </c>
      <c r="I79" s="175">
        <f>F79*G79+H79</f>
        <v>0</v>
      </c>
      <c r="J79" s="160"/>
      <c r="K79" s="160"/>
      <c r="L79" s="160"/>
      <c r="M79" s="160"/>
      <c r="N79" s="160"/>
      <c r="O79" s="160"/>
      <c r="P79" s="190"/>
      <c r="Q79" s="160"/>
      <c r="R79" s="24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60"/>
      <c r="AU79" s="160"/>
      <c r="AV79" s="160"/>
      <c r="AW79" s="160"/>
      <c r="AX79" s="160"/>
      <c r="AY79" s="160"/>
      <c r="AZ79" s="190"/>
      <c r="BA79" s="160"/>
      <c r="BB79" s="240"/>
    </row>
    <row r="80" spans="1:54" ht="12.75">
      <c r="A80" s="144"/>
      <c r="B80" s="144" t="s">
        <v>268</v>
      </c>
      <c r="C80" s="169"/>
      <c r="D80" s="144"/>
      <c r="E80" s="144"/>
      <c r="F80" s="164"/>
      <c r="G80" s="144"/>
      <c r="H80" s="144"/>
      <c r="I80" s="144"/>
      <c r="J80" s="160"/>
      <c r="K80" s="160"/>
      <c r="L80" s="160"/>
      <c r="M80" s="160"/>
      <c r="N80" s="160"/>
      <c r="O80" s="160"/>
      <c r="P80" s="190"/>
      <c r="Q80" s="160"/>
      <c r="R80" s="24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60"/>
      <c r="AU80" s="160"/>
      <c r="AV80" s="160"/>
      <c r="AW80" s="160"/>
      <c r="AX80" s="160"/>
      <c r="AY80" s="160"/>
      <c r="AZ80" s="190"/>
      <c r="BA80" s="160"/>
      <c r="BB80" s="240"/>
    </row>
    <row r="81" spans="1:54" ht="12.75">
      <c r="A81" s="102"/>
      <c r="B81" s="150"/>
      <c r="C81" s="217"/>
      <c r="D81" s="199"/>
      <c r="E81" s="218"/>
      <c r="F81" s="218" t="s">
        <v>273</v>
      </c>
      <c r="G81" s="219"/>
      <c r="H81" s="151"/>
      <c r="I81" s="155">
        <f>I77+I79</f>
        <v>5361.999999999978</v>
      </c>
      <c r="J81" s="243"/>
      <c r="K81" s="160"/>
      <c r="L81" s="160"/>
      <c r="M81" s="160"/>
      <c r="N81" s="160"/>
      <c r="O81" s="160"/>
      <c r="P81" s="189"/>
      <c r="Q81" s="160"/>
      <c r="R81" s="244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243"/>
      <c r="AU81" s="160"/>
      <c r="AV81" s="160"/>
      <c r="AW81" s="160"/>
      <c r="AX81" s="160"/>
      <c r="AY81" s="160"/>
      <c r="AZ81" s="189"/>
      <c r="BA81" s="160"/>
      <c r="BB81" s="244"/>
    </row>
    <row r="82" spans="1:54" ht="12.75">
      <c r="A82" s="102"/>
      <c r="B82" s="150"/>
      <c r="C82" s="217"/>
      <c r="D82" s="199"/>
      <c r="E82" s="218"/>
      <c r="F82" s="218"/>
      <c r="G82" s="219" t="s">
        <v>274</v>
      </c>
      <c r="H82" s="151"/>
      <c r="I82" s="235">
        <f>I75+I81</f>
        <v>5551860</v>
      </c>
      <c r="J82" s="160"/>
      <c r="K82" s="160"/>
      <c r="L82" s="160"/>
      <c r="M82" s="160"/>
      <c r="N82" s="160"/>
      <c r="O82" s="160"/>
      <c r="P82" s="190"/>
      <c r="Q82" s="160"/>
      <c r="R82" s="24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60"/>
      <c r="AU82" s="160"/>
      <c r="AV82" s="160"/>
      <c r="AW82" s="160"/>
      <c r="AX82" s="160"/>
      <c r="AY82" s="160"/>
      <c r="AZ82" s="190"/>
      <c r="BA82" s="160"/>
      <c r="BB82" s="240"/>
    </row>
    <row r="83" spans="1:54" ht="12.75">
      <c r="A83" s="145" t="s">
        <v>275</v>
      </c>
      <c r="B83" s="146"/>
      <c r="C83" s="220"/>
      <c r="D83" s="202"/>
      <c r="E83" s="221"/>
      <c r="F83" s="221"/>
      <c r="G83" s="204"/>
      <c r="H83" s="146"/>
      <c r="I83" s="205"/>
      <c r="J83" s="160"/>
      <c r="K83" s="160"/>
      <c r="L83" s="160"/>
      <c r="M83" s="160"/>
      <c r="N83" s="160"/>
      <c r="O83" s="160"/>
      <c r="P83" s="190"/>
      <c r="Q83" s="160"/>
      <c r="R83" s="24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60"/>
      <c r="AU83" s="160"/>
      <c r="AV83" s="160"/>
      <c r="AW83" s="160"/>
      <c r="AX83" s="160"/>
      <c r="AY83" s="160"/>
      <c r="AZ83" s="190"/>
      <c r="BA83" s="160"/>
      <c r="BB83" s="240"/>
    </row>
    <row r="84" spans="1:54" ht="12.75">
      <c r="A84" s="222" t="s">
        <v>538</v>
      </c>
      <c r="B84" s="223"/>
      <c r="C84" s="223"/>
      <c r="D84" s="191"/>
      <c r="E84" s="148"/>
      <c r="F84" s="148"/>
      <c r="G84" s="148"/>
      <c r="H84" s="148"/>
      <c r="I84" s="209"/>
      <c r="J84" s="160"/>
      <c r="K84" s="160"/>
      <c r="L84" s="160"/>
      <c r="M84" s="160"/>
      <c r="N84" s="160"/>
      <c r="O84" s="160"/>
      <c r="P84" s="190"/>
      <c r="Q84" s="160"/>
      <c r="R84" s="24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60"/>
      <c r="AU84" s="160"/>
      <c r="AV84" s="160"/>
      <c r="AW84" s="160"/>
      <c r="AX84" s="160"/>
      <c r="AY84" s="160"/>
      <c r="AZ84" s="190"/>
      <c r="BA84" s="160"/>
      <c r="BB84" s="240"/>
    </row>
    <row r="85" spans="1:54" ht="12.75">
      <c r="A85" s="160" t="s">
        <v>279</v>
      </c>
      <c r="B85" s="160"/>
      <c r="C85" s="264"/>
      <c r="D85" s="181"/>
      <c r="E85" s="265"/>
      <c r="F85" s="265"/>
      <c r="G85" s="188"/>
      <c r="H85" s="160"/>
      <c r="I85" s="190"/>
      <c r="J85" s="160"/>
      <c r="K85" s="160"/>
      <c r="L85" s="160"/>
      <c r="M85" s="160"/>
      <c r="N85" s="160"/>
      <c r="O85" s="160"/>
      <c r="P85" s="190"/>
      <c r="Q85" s="160"/>
      <c r="R85" s="24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60"/>
      <c r="AU85" s="160"/>
      <c r="AV85" s="160"/>
      <c r="AW85" s="160"/>
      <c r="AX85" s="160"/>
      <c r="AY85" s="160"/>
      <c r="AZ85" s="190"/>
      <c r="BA85" s="160"/>
      <c r="BB85" s="240"/>
    </row>
    <row r="86" spans="1:54" ht="12.75">
      <c r="A86" s="160"/>
      <c r="B86" s="160"/>
      <c r="C86" s="181"/>
      <c r="D86" s="313" t="s">
        <v>280</v>
      </c>
      <c r="E86" s="313"/>
      <c r="F86" s="314"/>
      <c r="G86" s="243"/>
      <c r="H86" s="243"/>
      <c r="I86" s="189"/>
      <c r="J86" s="160"/>
      <c r="K86" s="160"/>
      <c r="L86" s="188"/>
      <c r="M86" s="188"/>
      <c r="N86" s="160"/>
      <c r="O86" s="160"/>
      <c r="P86" s="190"/>
      <c r="Q86" s="160"/>
      <c r="R86" s="24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60"/>
      <c r="AU86" s="160"/>
      <c r="AV86" s="188"/>
      <c r="AW86" s="188"/>
      <c r="AX86" s="160"/>
      <c r="AY86" s="160"/>
      <c r="AZ86" s="190"/>
      <c r="BA86" s="160"/>
      <c r="BB86" s="240"/>
    </row>
    <row r="87" spans="1:54" ht="12.75">
      <c r="A87" s="160"/>
      <c r="B87" s="160"/>
      <c r="C87" s="181"/>
      <c r="D87" s="313" t="s">
        <v>531</v>
      </c>
      <c r="E87" s="313"/>
      <c r="F87" s="314"/>
      <c r="G87" s="243"/>
      <c r="H87" s="243"/>
      <c r="I87" s="189"/>
      <c r="J87" s="243"/>
      <c r="K87" s="160"/>
      <c r="L87" s="160"/>
      <c r="M87" s="160"/>
      <c r="N87" s="160"/>
      <c r="O87" s="160"/>
      <c r="P87" s="189"/>
      <c r="Q87" s="160"/>
      <c r="R87" s="244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243"/>
      <c r="AU87" s="160"/>
      <c r="AV87" s="160"/>
      <c r="AW87" s="160"/>
      <c r="AX87" s="160"/>
      <c r="AY87" s="160"/>
      <c r="AZ87" s="189"/>
      <c r="BA87" s="160"/>
      <c r="BB87" s="244"/>
    </row>
    <row r="88" spans="1:54" ht="12.75">
      <c r="A88" s="160"/>
      <c r="B88" s="160"/>
      <c r="C88" s="264"/>
      <c r="D88" s="313" t="s">
        <v>539</v>
      </c>
      <c r="E88" s="313"/>
      <c r="F88" s="314"/>
      <c r="G88" s="243"/>
      <c r="H88" s="243"/>
      <c r="I88" s="189"/>
      <c r="J88" s="160"/>
      <c r="K88" s="160"/>
      <c r="L88" s="160"/>
      <c r="M88" s="160"/>
      <c r="N88" s="160"/>
      <c r="O88" s="160"/>
      <c r="P88" s="190"/>
      <c r="Q88" s="160"/>
      <c r="R88" s="24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60"/>
      <c r="AU88" s="160"/>
      <c r="AV88" s="160"/>
      <c r="AW88" s="160"/>
      <c r="AX88" s="160"/>
      <c r="AY88" s="160"/>
      <c r="AZ88" s="190"/>
      <c r="BA88" s="160"/>
      <c r="BB88" s="240"/>
    </row>
    <row r="89" spans="1:54" ht="12.75">
      <c r="A89" s="120"/>
      <c r="B89" s="120"/>
      <c r="C89" s="120"/>
      <c r="D89" s="120" t="s">
        <v>192</v>
      </c>
      <c r="E89" s="120"/>
      <c r="F89" s="120"/>
      <c r="G89" s="120"/>
      <c r="H89" s="120"/>
      <c r="I89" s="120"/>
      <c r="J89" s="160"/>
      <c r="K89" s="160"/>
      <c r="L89" s="160"/>
      <c r="M89" s="160"/>
      <c r="N89" s="160"/>
      <c r="O89" s="160"/>
      <c r="P89" s="190"/>
      <c r="Q89" s="160"/>
      <c r="R89" s="24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60" t="s">
        <v>530</v>
      </c>
      <c r="AU89" s="120"/>
      <c r="AV89" s="120"/>
      <c r="AW89" s="120"/>
      <c r="AX89" s="120"/>
      <c r="AY89" s="120"/>
      <c r="AZ89" s="120"/>
      <c r="BA89" s="120"/>
      <c r="BB89" s="120"/>
    </row>
    <row r="90" spans="1:54" ht="12.75">
      <c r="A90" s="120"/>
      <c r="B90" s="120"/>
      <c r="C90" s="120"/>
      <c r="D90" s="120" t="s">
        <v>193</v>
      </c>
      <c r="E90" s="120"/>
      <c r="F90" s="120"/>
      <c r="G90" s="120"/>
      <c r="H90" s="120"/>
      <c r="I90" s="120"/>
      <c r="J90" s="243"/>
      <c r="K90" s="160"/>
      <c r="L90" s="160"/>
      <c r="M90" s="160"/>
      <c r="N90" s="160"/>
      <c r="O90" s="160"/>
      <c r="P90" s="189"/>
      <c r="Q90" s="160"/>
      <c r="R90" s="244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60" t="s">
        <v>535</v>
      </c>
      <c r="AU90" s="120"/>
      <c r="AV90" s="120"/>
      <c r="AW90" s="120"/>
      <c r="AX90" s="120"/>
      <c r="AY90" s="120"/>
      <c r="AZ90" s="120"/>
      <c r="BA90" s="120"/>
      <c r="BB90" s="120"/>
    </row>
    <row r="91" spans="1:54" ht="13.5">
      <c r="A91" s="120"/>
      <c r="B91" s="120"/>
      <c r="C91" s="120"/>
      <c r="D91" s="120"/>
      <c r="E91" s="120"/>
      <c r="F91" s="120"/>
      <c r="G91" s="120"/>
      <c r="H91" s="120"/>
      <c r="I91" s="120"/>
      <c r="J91" s="243"/>
      <c r="K91" s="160"/>
      <c r="L91" s="160"/>
      <c r="M91" s="160"/>
      <c r="N91" s="160"/>
      <c r="O91" s="160"/>
      <c r="P91" s="189"/>
      <c r="Q91" s="160"/>
      <c r="R91" s="244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60"/>
      <c r="AU91" s="120" t="s">
        <v>4</v>
      </c>
      <c r="AV91" s="120"/>
      <c r="AW91" s="120"/>
      <c r="AX91" s="120"/>
      <c r="AY91" s="254" t="s">
        <v>298</v>
      </c>
      <c r="AZ91" s="196" t="s">
        <v>557</v>
      </c>
      <c r="BA91" s="120"/>
      <c r="BB91" s="120"/>
    </row>
    <row r="92" spans="1:54" ht="12.75">
      <c r="A92" s="120"/>
      <c r="B92" s="120"/>
      <c r="C92" s="120" t="s">
        <v>194</v>
      </c>
      <c r="D92" s="120"/>
      <c r="E92" s="120"/>
      <c r="F92" s="120"/>
      <c r="G92" s="120"/>
      <c r="H92" s="120"/>
      <c r="I92" s="120"/>
      <c r="J92" s="243"/>
      <c r="K92" s="160"/>
      <c r="L92" s="160"/>
      <c r="M92" s="160"/>
      <c r="N92" s="160"/>
      <c r="O92" s="160"/>
      <c r="P92" s="189"/>
      <c r="Q92" s="160"/>
      <c r="R92" s="244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50" t="s">
        <v>108</v>
      </c>
      <c r="AU92" s="150"/>
      <c r="AV92" s="150"/>
      <c r="AW92" s="150"/>
      <c r="AX92" s="150"/>
      <c r="AY92" s="151"/>
      <c r="AZ92" s="96" t="s">
        <v>175</v>
      </c>
      <c r="BA92" s="96"/>
      <c r="BB92" s="96" t="s">
        <v>109</v>
      </c>
    </row>
    <row r="93" spans="1:54" ht="12.75">
      <c r="A93" s="120"/>
      <c r="B93" s="120"/>
      <c r="C93" s="120"/>
      <c r="D93" s="277" t="s">
        <v>609</v>
      </c>
      <c r="E93" s="277"/>
      <c r="F93" s="120"/>
      <c r="G93" s="120"/>
      <c r="H93" s="120"/>
      <c r="I93" s="120"/>
      <c r="J93" s="243"/>
      <c r="K93" s="160"/>
      <c r="L93" s="160"/>
      <c r="M93" s="160"/>
      <c r="N93" s="160"/>
      <c r="O93" s="160"/>
      <c r="P93" s="189"/>
      <c r="Q93" s="160"/>
      <c r="R93" s="244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273" t="s">
        <v>301</v>
      </c>
      <c r="AU93" s="150"/>
      <c r="AV93" s="150"/>
      <c r="AW93" s="150"/>
      <c r="AX93" s="150"/>
      <c r="AY93" s="151"/>
      <c r="AZ93" s="235">
        <v>45978</v>
      </c>
      <c r="BA93" s="199"/>
      <c r="BB93" s="299">
        <f>AZ93*BB58</f>
        <v>162039.4207933176</v>
      </c>
    </row>
    <row r="94" spans="1:54" ht="12.75">
      <c r="A94" s="120" t="s">
        <v>528</v>
      </c>
      <c r="B94" s="120"/>
      <c r="C94" s="120"/>
      <c r="D94" s="120"/>
      <c r="E94" s="120"/>
      <c r="F94" s="120"/>
      <c r="G94" s="120"/>
      <c r="H94" s="120"/>
      <c r="I94" s="120"/>
      <c r="J94" s="243"/>
      <c r="K94" s="160"/>
      <c r="L94" s="160"/>
      <c r="M94" s="160"/>
      <c r="N94" s="160"/>
      <c r="O94" s="160"/>
      <c r="P94" s="189"/>
      <c r="Q94" s="160"/>
      <c r="R94" s="244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273" t="s">
        <v>300</v>
      </c>
      <c r="AU94" s="150"/>
      <c r="AV94" s="150"/>
      <c r="AW94" s="150"/>
      <c r="AX94" s="150"/>
      <c r="AY94" s="151"/>
      <c r="AZ94" s="235">
        <f>AZ131-SUM(AZ112:AZ120)-AZ109-AZ103-AZ96-AZ95-AZ93</f>
        <v>4237056</v>
      </c>
      <c r="BA94" s="199"/>
      <c r="BB94" s="299">
        <f>AZ94*BB58</f>
        <v>14932578.626927033</v>
      </c>
    </row>
    <row r="95" spans="1:54" ht="12.75">
      <c r="A95" s="120" t="s">
        <v>196</v>
      </c>
      <c r="B95" s="120"/>
      <c r="C95" s="120"/>
      <c r="D95" s="120"/>
      <c r="E95" s="120"/>
      <c r="F95" s="120"/>
      <c r="G95" s="120"/>
      <c r="H95" s="120"/>
      <c r="I95" s="120"/>
      <c r="J95" s="243"/>
      <c r="K95" s="243"/>
      <c r="L95" s="160"/>
      <c r="M95" s="160"/>
      <c r="N95" s="160"/>
      <c r="O95" s="160"/>
      <c r="P95" s="189"/>
      <c r="Q95" s="160"/>
      <c r="R95" s="244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273" t="s">
        <v>537</v>
      </c>
      <c r="AU95" s="150"/>
      <c r="AV95" s="150"/>
      <c r="AW95" s="150"/>
      <c r="AX95" s="150"/>
      <c r="AY95" s="151"/>
      <c r="AZ95" s="235">
        <v>84480</v>
      </c>
      <c r="BA95" s="199"/>
      <c r="BB95" s="299">
        <f>AZ95*BB58</f>
        <v>297731.31211926293</v>
      </c>
    </row>
    <row r="96" spans="1:54" ht="12.75">
      <c r="A96" s="120" t="s">
        <v>198</v>
      </c>
      <c r="B96" s="120"/>
      <c r="C96" s="120"/>
      <c r="D96" s="120"/>
      <c r="E96" s="120"/>
      <c r="F96" s="120" t="s">
        <v>197</v>
      </c>
      <c r="G96" s="120"/>
      <c r="H96" s="120"/>
      <c r="I96" s="120"/>
      <c r="J96" s="243"/>
      <c r="K96" s="243"/>
      <c r="L96" s="160"/>
      <c r="M96" s="160"/>
      <c r="N96" s="160"/>
      <c r="O96" s="160"/>
      <c r="P96" s="189"/>
      <c r="Q96" s="160"/>
      <c r="R96" s="244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255" t="s">
        <v>85</v>
      </c>
      <c r="AU96" s="146"/>
      <c r="AV96" s="146"/>
      <c r="AW96" s="146"/>
      <c r="AX96" s="146"/>
      <c r="AY96" s="147"/>
      <c r="AZ96" s="300">
        <f>SUM(AZ97:AZ102)</f>
        <v>891941</v>
      </c>
      <c r="BA96" s="202"/>
      <c r="BB96" s="299">
        <f>AZ96*BB58</f>
        <v>3143451.2815218694</v>
      </c>
    </row>
    <row r="97" spans="1:54" ht="12.75">
      <c r="A97" s="143" t="s">
        <v>335</v>
      </c>
      <c r="B97" s="171" t="s">
        <v>199</v>
      </c>
      <c r="C97" s="143" t="s">
        <v>200</v>
      </c>
      <c r="D97" s="224" t="s">
        <v>286</v>
      </c>
      <c r="E97" s="225"/>
      <c r="F97" s="143" t="s">
        <v>201</v>
      </c>
      <c r="G97" s="143" t="s">
        <v>404</v>
      </c>
      <c r="H97" s="143" t="s">
        <v>202</v>
      </c>
      <c r="I97" s="143" t="s">
        <v>191</v>
      </c>
      <c r="J97" s="243"/>
      <c r="K97" s="243"/>
      <c r="L97" s="160"/>
      <c r="M97" s="160"/>
      <c r="N97" s="160"/>
      <c r="O97" s="160"/>
      <c r="P97" s="189"/>
      <c r="Q97" s="160"/>
      <c r="R97" s="244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59" t="s">
        <v>87</v>
      </c>
      <c r="AU97" s="160"/>
      <c r="AV97" s="160"/>
      <c r="AW97" s="160"/>
      <c r="AX97" s="160"/>
      <c r="AY97" s="161"/>
      <c r="AZ97" s="163">
        <v>294538</v>
      </c>
      <c r="BA97" s="181"/>
      <c r="BB97" s="299">
        <f>AZ97*BB58</f>
        <v>1038034.8627957323</v>
      </c>
    </row>
    <row r="98" spans="1:54" ht="12.75">
      <c r="A98" s="173"/>
      <c r="B98" s="173"/>
      <c r="C98" s="173"/>
      <c r="D98" s="143" t="s">
        <v>203</v>
      </c>
      <c r="E98" s="145" t="s">
        <v>204</v>
      </c>
      <c r="F98" s="173" t="s">
        <v>205</v>
      </c>
      <c r="G98" s="173" t="s">
        <v>190</v>
      </c>
      <c r="H98" s="173"/>
      <c r="I98" s="173" t="s">
        <v>206</v>
      </c>
      <c r="J98" s="243"/>
      <c r="K98" s="243"/>
      <c r="L98" s="160"/>
      <c r="M98" s="160"/>
      <c r="N98" s="160"/>
      <c r="O98" s="160"/>
      <c r="P98" s="189"/>
      <c r="Q98" s="160"/>
      <c r="R98" s="244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59" t="s">
        <v>88</v>
      </c>
      <c r="AU98" s="160"/>
      <c r="AV98" s="160"/>
      <c r="AW98" s="160"/>
      <c r="AX98" s="160"/>
      <c r="AY98" s="161"/>
      <c r="AZ98" s="163">
        <v>467152</v>
      </c>
      <c r="BA98" s="181"/>
      <c r="BB98" s="299">
        <f>AZ98*BB58</f>
        <v>1646375.2121110077</v>
      </c>
    </row>
    <row r="99" spans="1:54" ht="12.75">
      <c r="A99" s="144"/>
      <c r="B99" s="144"/>
      <c r="C99" s="144"/>
      <c r="D99" s="144" t="s">
        <v>207</v>
      </c>
      <c r="E99" s="103" t="s">
        <v>207</v>
      </c>
      <c r="F99" s="144" t="s">
        <v>208</v>
      </c>
      <c r="G99" s="144"/>
      <c r="H99" s="144"/>
      <c r="I99" s="144"/>
      <c r="J99" s="160"/>
      <c r="K99" s="160"/>
      <c r="L99" s="160"/>
      <c r="M99" s="160"/>
      <c r="N99" s="160"/>
      <c r="O99" s="160"/>
      <c r="P99" s="189"/>
      <c r="Q99" s="160"/>
      <c r="R99" s="244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59" t="s">
        <v>89</v>
      </c>
      <c r="AU99" s="160"/>
      <c r="AV99" s="160"/>
      <c r="AW99" s="160"/>
      <c r="AX99" s="160"/>
      <c r="AY99" s="161"/>
      <c r="AZ99" s="163">
        <v>124541</v>
      </c>
      <c r="BA99" s="181"/>
      <c r="BB99" s="299">
        <f>AZ99*BB58</f>
        <v>438917.55850668944</v>
      </c>
    </row>
    <row r="100" spans="1:54" ht="12.75">
      <c r="A100" s="152">
        <v>1</v>
      </c>
      <c r="B100" s="152">
        <v>2</v>
      </c>
      <c r="C100" s="152">
        <v>3</v>
      </c>
      <c r="D100" s="152">
        <v>4</v>
      </c>
      <c r="E100" s="152">
        <v>5</v>
      </c>
      <c r="F100" s="152">
        <v>6</v>
      </c>
      <c r="G100" s="152">
        <v>7</v>
      </c>
      <c r="H100" s="152">
        <v>8</v>
      </c>
      <c r="I100" s="152">
        <v>9</v>
      </c>
      <c r="J100" s="160"/>
      <c r="K100" s="160"/>
      <c r="L100" s="160"/>
      <c r="M100" s="160"/>
      <c r="N100" s="160"/>
      <c r="O100" s="160"/>
      <c r="P100" s="189"/>
      <c r="Q100" s="160"/>
      <c r="R100" s="244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59" t="s">
        <v>90</v>
      </c>
      <c r="AU100" s="160"/>
      <c r="AV100" s="160"/>
      <c r="AW100" s="160"/>
      <c r="AX100" s="160"/>
      <c r="AY100" s="161"/>
      <c r="AZ100" s="163">
        <v>250</v>
      </c>
      <c r="BA100" s="181"/>
      <c r="BB100" s="299">
        <f>AZ100*BB58</f>
        <v>881.0704075499021</v>
      </c>
    </row>
    <row r="101" spans="1:54" ht="12.75">
      <c r="A101" s="103"/>
      <c r="B101" s="148"/>
      <c r="C101" s="320" t="s">
        <v>287</v>
      </c>
      <c r="D101" s="320"/>
      <c r="E101" s="148"/>
      <c r="F101" s="148"/>
      <c r="G101" s="148"/>
      <c r="H101" s="148"/>
      <c r="I101" s="149"/>
      <c r="J101" s="160"/>
      <c r="K101" s="160"/>
      <c r="L101" s="160"/>
      <c r="M101" s="160"/>
      <c r="N101" s="160"/>
      <c r="O101" s="160"/>
      <c r="P101" s="189"/>
      <c r="Q101" s="160"/>
      <c r="R101" s="244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59" t="s">
        <v>91</v>
      </c>
      <c r="AU101" s="160"/>
      <c r="AV101" s="160"/>
      <c r="AW101" s="160"/>
      <c r="AX101" s="160"/>
      <c r="AY101" s="161"/>
      <c r="AZ101" s="163">
        <v>4460</v>
      </c>
      <c r="BA101" s="181"/>
      <c r="BB101" s="299">
        <f>AZ101*BB58</f>
        <v>15718.296070690254</v>
      </c>
    </row>
    <row r="102" spans="1:54" ht="12.75">
      <c r="A102" s="96"/>
      <c r="B102" s="102" t="s">
        <v>526</v>
      </c>
      <c r="C102" s="150"/>
      <c r="D102" s="150"/>
      <c r="E102" s="150"/>
      <c r="F102" s="150"/>
      <c r="G102" s="150"/>
      <c r="H102" s="150"/>
      <c r="I102" s="151"/>
      <c r="J102" s="160"/>
      <c r="K102" s="160"/>
      <c r="L102" s="160"/>
      <c r="M102" s="160"/>
      <c r="N102" s="160"/>
      <c r="O102" s="160"/>
      <c r="P102" s="189"/>
      <c r="Q102" s="160"/>
      <c r="R102" s="244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03" t="s">
        <v>41</v>
      </c>
      <c r="AU102" s="148"/>
      <c r="AV102" s="148"/>
      <c r="AW102" s="148"/>
      <c r="AX102" s="148"/>
      <c r="AY102" s="149"/>
      <c r="AZ102" s="164">
        <v>1000</v>
      </c>
      <c r="BA102" s="191"/>
      <c r="BB102" s="299">
        <f>AZ102*BB58</f>
        <v>3524.2816301996086</v>
      </c>
    </row>
    <row r="103" spans="1:54" ht="12.75">
      <c r="A103" s="171">
        <v>1</v>
      </c>
      <c r="B103" s="143" t="s">
        <v>249</v>
      </c>
      <c r="C103" s="197">
        <v>804152757</v>
      </c>
      <c r="D103" s="230">
        <v>2409.8609</v>
      </c>
      <c r="E103" s="230">
        <v>2460.7673</v>
      </c>
      <c r="F103" s="155">
        <v>36000</v>
      </c>
      <c r="G103" s="252">
        <f>E103-D103</f>
        <v>50.90639999999985</v>
      </c>
      <c r="H103" s="96"/>
      <c r="I103" s="155">
        <f>F103*G103+H103</f>
        <v>1832630.3999999946</v>
      </c>
      <c r="J103" s="160"/>
      <c r="K103" s="160"/>
      <c r="L103" s="160"/>
      <c r="M103" s="160"/>
      <c r="N103" s="160"/>
      <c r="O103" s="160"/>
      <c r="P103" s="189"/>
      <c r="Q103" s="160"/>
      <c r="R103" s="244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255" t="s">
        <v>303</v>
      </c>
      <c r="AU103" s="146"/>
      <c r="AV103" s="146"/>
      <c r="AW103" s="146"/>
      <c r="AX103" s="146"/>
      <c r="AY103" s="147"/>
      <c r="AZ103" s="300">
        <f>SUM(AZ104:AZ108)</f>
        <v>13180</v>
      </c>
      <c r="BA103" s="202"/>
      <c r="BB103" s="299">
        <f>AZ103*BB58</f>
        <v>46450.03188603084</v>
      </c>
    </row>
    <row r="104" spans="1:54" ht="12.75">
      <c r="A104" s="144"/>
      <c r="B104" s="103" t="s">
        <v>250</v>
      </c>
      <c r="C104" s="213">
        <v>109054169</v>
      </c>
      <c r="D104" s="230">
        <v>2990.9807</v>
      </c>
      <c r="E104" s="230">
        <v>3040.5376</v>
      </c>
      <c r="F104" s="155">
        <v>36000</v>
      </c>
      <c r="G104" s="252">
        <f>E104-D104</f>
        <v>49.55690000000004</v>
      </c>
      <c r="H104" s="96"/>
      <c r="I104" s="155">
        <f>F104*G104+H104</f>
        <v>1784048.4000000015</v>
      </c>
      <c r="J104" s="160"/>
      <c r="K104" s="160"/>
      <c r="L104" s="188"/>
      <c r="M104" s="188"/>
      <c r="N104" s="160"/>
      <c r="O104" s="160"/>
      <c r="P104" s="189"/>
      <c r="Q104" s="160"/>
      <c r="R104" s="244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59"/>
      <c r="AU104" s="160" t="s">
        <v>389</v>
      </c>
      <c r="AV104" s="160"/>
      <c r="AW104" s="160"/>
      <c r="AX104" s="160"/>
      <c r="AY104" s="161"/>
      <c r="AZ104" s="163">
        <v>2240</v>
      </c>
      <c r="BA104" s="181"/>
      <c r="BB104" s="299">
        <f>AZ104*BB58</f>
        <v>7894.390851647124</v>
      </c>
    </row>
    <row r="105" spans="1:54" ht="12.75">
      <c r="A105" s="102"/>
      <c r="B105" s="150"/>
      <c r="C105" s="148"/>
      <c r="D105" s="150"/>
      <c r="E105" s="150"/>
      <c r="F105" s="214" t="s">
        <v>212</v>
      </c>
      <c r="G105" s="150"/>
      <c r="H105" s="151"/>
      <c r="I105" s="155">
        <f>I103+I104</f>
        <v>3616678.799999996</v>
      </c>
      <c r="J105" s="160"/>
      <c r="K105" s="160"/>
      <c r="L105" s="160"/>
      <c r="M105" s="160"/>
      <c r="N105" s="160"/>
      <c r="O105" s="160"/>
      <c r="P105" s="190"/>
      <c r="Q105" s="160"/>
      <c r="R105" s="16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59" t="s">
        <v>385</v>
      </c>
      <c r="AU105" s="160"/>
      <c r="AV105" s="160" t="s">
        <v>304</v>
      </c>
      <c r="AW105" s="160"/>
      <c r="AX105" s="160"/>
      <c r="AY105" s="161"/>
      <c r="AZ105" s="163">
        <v>4240</v>
      </c>
      <c r="BA105" s="181"/>
      <c r="BB105" s="299">
        <f>AZ105*BB58</f>
        <v>14942.954112046342</v>
      </c>
    </row>
    <row r="106" spans="1:54" ht="12.75">
      <c r="A106" s="96" t="s">
        <v>213</v>
      </c>
      <c r="B106" s="102" t="s">
        <v>214</v>
      </c>
      <c r="C106" s="150"/>
      <c r="D106" s="150"/>
      <c r="E106" s="150"/>
      <c r="F106" s="150"/>
      <c r="G106" s="150"/>
      <c r="H106" s="150"/>
      <c r="I106" s="151"/>
      <c r="J106" s="160"/>
      <c r="K106" s="160"/>
      <c r="L106" s="160"/>
      <c r="M106" s="160"/>
      <c r="N106" s="160"/>
      <c r="O106" s="160"/>
      <c r="P106" s="190"/>
      <c r="Q106" s="160"/>
      <c r="R106" s="16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59" t="s">
        <v>385</v>
      </c>
      <c r="AU106" s="160"/>
      <c r="AV106" s="160" t="s">
        <v>390</v>
      </c>
      <c r="AW106" s="160"/>
      <c r="AX106" s="160"/>
      <c r="AY106" s="161"/>
      <c r="AZ106" s="163">
        <v>0</v>
      </c>
      <c r="BA106" s="181"/>
      <c r="BB106" s="299">
        <f>AZ106*BB58</f>
        <v>0</v>
      </c>
    </row>
    <row r="107" spans="1:54" ht="12.75">
      <c r="A107" s="96" t="s">
        <v>215</v>
      </c>
      <c r="B107" s="96" t="s">
        <v>216</v>
      </c>
      <c r="C107" s="213">
        <v>109053225</v>
      </c>
      <c r="D107" s="230">
        <v>7604.3866</v>
      </c>
      <c r="E107" s="230">
        <v>7668.9108</v>
      </c>
      <c r="F107" s="155">
        <v>21000</v>
      </c>
      <c r="G107" s="252">
        <f>E107-D107</f>
        <v>64.52419999999984</v>
      </c>
      <c r="H107" s="96"/>
      <c r="I107" s="155">
        <f>F107*G107+H107</f>
        <v>1355008.1999999965</v>
      </c>
      <c r="J107" s="160"/>
      <c r="K107" s="160"/>
      <c r="L107" s="160"/>
      <c r="M107" s="160"/>
      <c r="N107" s="160"/>
      <c r="O107" s="160"/>
      <c r="P107" s="190"/>
      <c r="Q107" s="160"/>
      <c r="R107" s="16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60"/>
      <c r="AU107" s="160"/>
      <c r="AV107" s="160" t="s">
        <v>391</v>
      </c>
      <c r="AW107" s="160"/>
      <c r="AX107" s="160"/>
      <c r="AY107" s="160"/>
      <c r="AZ107" s="163">
        <v>220</v>
      </c>
      <c r="BA107" s="168"/>
      <c r="BB107" s="299">
        <f>AZ107*BB58</f>
        <v>775.3419586439139</v>
      </c>
    </row>
    <row r="108" spans="1:54" ht="12.75">
      <c r="A108" s="96" t="s">
        <v>521</v>
      </c>
      <c r="B108" s="150" t="s">
        <v>524</v>
      </c>
      <c r="C108" s="148"/>
      <c r="D108" s="150"/>
      <c r="E108" s="150"/>
      <c r="F108" s="214"/>
      <c r="G108" s="150"/>
      <c r="H108" s="151"/>
      <c r="I108" s="155"/>
      <c r="J108" s="160"/>
      <c r="K108" s="160"/>
      <c r="L108" s="160"/>
      <c r="M108" s="160"/>
      <c r="N108" s="160"/>
      <c r="O108" s="160"/>
      <c r="P108" s="190"/>
      <c r="Q108" s="160"/>
      <c r="R108" s="16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03" t="s">
        <v>155</v>
      </c>
      <c r="AU108" s="148"/>
      <c r="AV108" s="208"/>
      <c r="AW108" s="208"/>
      <c r="AX108" s="148"/>
      <c r="AY108" s="149"/>
      <c r="AZ108" s="164">
        <v>6480</v>
      </c>
      <c r="BA108" s="191"/>
      <c r="BB108" s="299">
        <f>AZ108*BB58</f>
        <v>22837.344963693464</v>
      </c>
    </row>
    <row r="109" spans="1:54" ht="12.75">
      <c r="A109" s="96" t="s">
        <v>522</v>
      </c>
      <c r="B109" s="102" t="s">
        <v>525</v>
      </c>
      <c r="C109" s="150"/>
      <c r="D109" s="150"/>
      <c r="E109" s="150"/>
      <c r="F109" s="150"/>
      <c r="G109" s="150"/>
      <c r="H109" s="151"/>
      <c r="I109" s="280"/>
      <c r="J109" s="160"/>
      <c r="K109" s="160"/>
      <c r="L109" s="160"/>
      <c r="M109" s="160"/>
      <c r="N109" s="160"/>
      <c r="O109" s="160"/>
      <c r="P109" s="190"/>
      <c r="Q109" s="160"/>
      <c r="R109" s="244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255" t="s">
        <v>536</v>
      </c>
      <c r="AU109" s="146"/>
      <c r="AV109" s="146"/>
      <c r="AW109" s="146"/>
      <c r="AX109" s="146"/>
      <c r="AY109" s="147"/>
      <c r="AZ109" s="300">
        <f>AZ110+AZ111</f>
        <v>125182</v>
      </c>
      <c r="BA109" s="202"/>
      <c r="BB109" s="299">
        <f>AZ109*BB58</f>
        <v>441176.6230316474</v>
      </c>
    </row>
    <row r="110" spans="1:54" ht="12.75">
      <c r="A110" s="102" t="s">
        <v>523</v>
      </c>
      <c r="B110" s="102"/>
      <c r="C110" s="371"/>
      <c r="D110" s="372"/>
      <c r="E110" s="372"/>
      <c r="F110" s="373"/>
      <c r="G110" s="374"/>
      <c r="H110" s="151"/>
      <c r="I110" s="280"/>
      <c r="J110" s="160"/>
      <c r="K110" s="160"/>
      <c r="L110" s="160"/>
      <c r="M110" s="160"/>
      <c r="N110" s="160"/>
      <c r="O110" s="160"/>
      <c r="P110" s="190"/>
      <c r="Q110" s="160"/>
      <c r="R110" s="16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59" t="s">
        <v>93</v>
      </c>
      <c r="AU110" s="160"/>
      <c r="AV110" s="160"/>
      <c r="AW110" s="160"/>
      <c r="AX110" s="160"/>
      <c r="AY110" s="161"/>
      <c r="AZ110" s="163">
        <v>8230</v>
      </c>
      <c r="BA110" s="181"/>
      <c r="BB110" s="299">
        <f>AZ110*BB58</f>
        <v>29004.83781654278</v>
      </c>
    </row>
    <row r="111" spans="1:54" ht="12.75">
      <c r="A111" s="96" t="s">
        <v>219</v>
      </c>
      <c r="B111" s="102" t="s">
        <v>220</v>
      </c>
      <c r="C111" s="150"/>
      <c r="D111" s="150"/>
      <c r="E111" s="150"/>
      <c r="F111" s="150"/>
      <c r="G111" s="150"/>
      <c r="H111" s="150"/>
      <c r="I111" s="151"/>
      <c r="J111" s="160"/>
      <c r="K111" s="160"/>
      <c r="L111" s="160"/>
      <c r="M111" s="160"/>
      <c r="N111" s="160"/>
      <c r="O111" s="160"/>
      <c r="P111" s="160"/>
      <c r="Q111" s="160"/>
      <c r="R111" s="16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03" t="s">
        <v>94</v>
      </c>
      <c r="AU111" s="148"/>
      <c r="AV111" s="148"/>
      <c r="AW111" s="148"/>
      <c r="AX111" s="148"/>
      <c r="AY111" s="149"/>
      <c r="AZ111" s="164">
        <v>116952</v>
      </c>
      <c r="BA111" s="191"/>
      <c r="BB111" s="299">
        <f>AZ111*BB58</f>
        <v>412171.78521510464</v>
      </c>
    </row>
    <row r="112" spans="1:54" ht="12.75">
      <c r="A112" s="143" t="s">
        <v>221</v>
      </c>
      <c r="B112" s="143" t="s">
        <v>224</v>
      </c>
      <c r="C112" s="197"/>
      <c r="D112" s="171"/>
      <c r="E112" s="171"/>
      <c r="F112" s="175"/>
      <c r="G112" s="171"/>
      <c r="H112" s="171"/>
      <c r="I112" s="171"/>
      <c r="J112" s="160"/>
      <c r="K112" s="160"/>
      <c r="L112" s="160"/>
      <c r="M112" s="160"/>
      <c r="N112" s="160"/>
      <c r="O112" s="160"/>
      <c r="P112" s="160"/>
      <c r="Q112" s="160"/>
      <c r="R112" s="16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273" t="s">
        <v>392</v>
      </c>
      <c r="AU112" s="150"/>
      <c r="AV112" s="150"/>
      <c r="AW112" s="150"/>
      <c r="AX112" s="150"/>
      <c r="AY112" s="151"/>
      <c r="AZ112" s="235">
        <v>16500</v>
      </c>
      <c r="BA112" s="199"/>
      <c r="BB112" s="299">
        <f>AZ112*BB58</f>
        <v>58150.64689829354</v>
      </c>
    </row>
    <row r="113" spans="1:54" ht="12.75">
      <c r="A113" s="144"/>
      <c r="B113" s="144" t="s">
        <v>222</v>
      </c>
      <c r="C113" s="198">
        <v>109056121</v>
      </c>
      <c r="D113" s="323">
        <v>6554.309</v>
      </c>
      <c r="E113" s="323">
        <v>6581.2382</v>
      </c>
      <c r="F113" s="164">
        <v>4800</v>
      </c>
      <c r="G113" s="324">
        <f aca="true" t="shared" si="2" ref="G113:G132">E113-D113</f>
        <v>26.929199999999582</v>
      </c>
      <c r="H113" s="164"/>
      <c r="I113" s="164">
        <f>F113*G113+H113</f>
        <v>129260.159999998</v>
      </c>
      <c r="J113" s="160"/>
      <c r="K113" s="160"/>
      <c r="L113" s="160"/>
      <c r="M113" s="160"/>
      <c r="N113" s="160"/>
      <c r="O113" s="160"/>
      <c r="P113" s="160"/>
      <c r="Q113" s="160"/>
      <c r="R113" s="16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273" t="s">
        <v>154</v>
      </c>
      <c r="AU113" s="150"/>
      <c r="AV113" s="150"/>
      <c r="AW113" s="150"/>
      <c r="AX113" s="150"/>
      <c r="AY113" s="151"/>
      <c r="AZ113" s="235">
        <v>23880</v>
      </c>
      <c r="BA113" s="199"/>
      <c r="BB113" s="299">
        <f>AZ113*BB58</f>
        <v>84159.84532916665</v>
      </c>
    </row>
    <row r="114" spans="1:54" ht="12.75">
      <c r="A114" s="143" t="s">
        <v>223</v>
      </c>
      <c r="B114" s="143" t="s">
        <v>235</v>
      </c>
      <c r="C114" s="197">
        <v>623125232</v>
      </c>
      <c r="D114" s="325">
        <v>3004.4408</v>
      </c>
      <c r="E114" s="325">
        <v>3004.4408</v>
      </c>
      <c r="F114" s="175">
        <v>1800</v>
      </c>
      <c r="G114" s="326">
        <f t="shared" si="2"/>
        <v>0</v>
      </c>
      <c r="H114" s="171"/>
      <c r="I114" s="175">
        <f>G114*F114</f>
        <v>0</v>
      </c>
      <c r="J114" s="160"/>
      <c r="K114" s="160"/>
      <c r="L114" s="160"/>
      <c r="M114" s="160"/>
      <c r="N114" s="160"/>
      <c r="O114" s="160"/>
      <c r="P114" s="160"/>
      <c r="Q114" s="160"/>
      <c r="R114" s="16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273" t="s">
        <v>362</v>
      </c>
      <c r="AU114" s="150"/>
      <c r="AV114" s="150"/>
      <c r="AW114" s="150"/>
      <c r="AX114" s="150"/>
      <c r="AY114" s="151"/>
      <c r="AZ114" s="235">
        <v>14013</v>
      </c>
      <c r="BA114" s="199"/>
      <c r="BB114" s="299">
        <f>AZ114*BB58</f>
        <v>49385.75848398712</v>
      </c>
    </row>
    <row r="115" spans="1:54" ht="12.75">
      <c r="A115" s="144"/>
      <c r="B115" s="144" t="s">
        <v>222</v>
      </c>
      <c r="C115" s="169"/>
      <c r="D115" s="228"/>
      <c r="E115" s="228"/>
      <c r="F115" s="164"/>
      <c r="G115" s="227"/>
      <c r="H115" s="169"/>
      <c r="I115" s="164"/>
      <c r="J115" s="160"/>
      <c r="K115" s="160"/>
      <c r="L115" s="160"/>
      <c r="M115" s="160"/>
      <c r="N115" s="160"/>
      <c r="O115" s="160"/>
      <c r="P115" s="160"/>
      <c r="Q115" s="160"/>
      <c r="R115" s="16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273" t="s">
        <v>297</v>
      </c>
      <c r="AU115" s="150"/>
      <c r="AV115" s="150"/>
      <c r="AW115" s="150"/>
      <c r="AX115" s="150"/>
      <c r="AY115" s="151"/>
      <c r="AZ115" s="235">
        <v>2920</v>
      </c>
      <c r="BA115" s="199"/>
      <c r="BB115" s="299">
        <f>AZ115*BB58</f>
        <v>10290.902360182858</v>
      </c>
    </row>
    <row r="116" spans="1:54" ht="12.75">
      <c r="A116" s="143" t="s">
        <v>225</v>
      </c>
      <c r="B116" s="143" t="s">
        <v>236</v>
      </c>
      <c r="C116" s="197">
        <v>623125667</v>
      </c>
      <c r="D116" s="325">
        <v>3778.8104</v>
      </c>
      <c r="E116" s="325">
        <v>3857.645</v>
      </c>
      <c r="F116" s="175">
        <v>1800</v>
      </c>
      <c r="G116" s="326">
        <f t="shared" si="2"/>
        <v>78.83460000000014</v>
      </c>
      <c r="H116" s="171"/>
      <c r="I116" s="175">
        <f>G116*F116</f>
        <v>141902.28000000026</v>
      </c>
      <c r="J116" s="160"/>
      <c r="K116" s="160"/>
      <c r="L116" s="160"/>
      <c r="M116" s="160"/>
      <c r="N116" s="160"/>
      <c r="O116" s="160"/>
      <c r="P116" s="160"/>
      <c r="Q116" s="160"/>
      <c r="R116" s="16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273" t="s">
        <v>6</v>
      </c>
      <c r="AU116" s="150"/>
      <c r="AV116" s="150"/>
      <c r="AW116" s="150"/>
      <c r="AX116" s="150"/>
      <c r="AY116" s="151"/>
      <c r="AZ116" s="235">
        <v>30000</v>
      </c>
      <c r="BA116" s="199"/>
      <c r="BB116" s="299">
        <f>AZ116*BB58</f>
        <v>105728.44890598826</v>
      </c>
    </row>
    <row r="117" spans="1:54" ht="12.75">
      <c r="A117" s="144"/>
      <c r="B117" s="144" t="s">
        <v>222</v>
      </c>
      <c r="C117" s="169"/>
      <c r="D117" s="228"/>
      <c r="E117" s="228"/>
      <c r="F117" s="164"/>
      <c r="G117" s="227"/>
      <c r="H117" s="169"/>
      <c r="I117" s="164"/>
      <c r="J117" s="160"/>
      <c r="K117" s="160"/>
      <c r="L117" s="160"/>
      <c r="M117" s="160"/>
      <c r="N117" s="160"/>
      <c r="O117" s="160"/>
      <c r="P117" s="160"/>
      <c r="Q117" s="160"/>
      <c r="R117" s="16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273" t="s">
        <v>21</v>
      </c>
      <c r="AU117" s="214"/>
      <c r="AV117" s="150"/>
      <c r="AW117" s="150"/>
      <c r="AX117" s="150"/>
      <c r="AY117" s="151"/>
      <c r="AZ117" s="235">
        <v>10000</v>
      </c>
      <c r="BA117" s="199"/>
      <c r="BB117" s="299">
        <f>AZ117*BB58</f>
        <v>35242.816301996085</v>
      </c>
    </row>
    <row r="118" spans="1:54" ht="12.75">
      <c r="A118" s="143" t="s">
        <v>226</v>
      </c>
      <c r="B118" s="143" t="s">
        <v>237</v>
      </c>
      <c r="C118" s="197">
        <v>623126370</v>
      </c>
      <c r="D118" s="325">
        <v>749.4651</v>
      </c>
      <c r="E118" s="325">
        <v>765.0739</v>
      </c>
      <c r="F118" s="175">
        <v>4800</v>
      </c>
      <c r="G118" s="326">
        <f t="shared" si="2"/>
        <v>15.608799999999974</v>
      </c>
      <c r="H118" s="171"/>
      <c r="I118" s="175">
        <f>G118*F118</f>
        <v>74922.23999999987</v>
      </c>
      <c r="J118" s="160"/>
      <c r="K118" s="160"/>
      <c r="L118" s="160"/>
      <c r="M118" s="160"/>
      <c r="N118" s="160"/>
      <c r="O118" s="160"/>
      <c r="P118" s="160"/>
      <c r="Q118" s="160"/>
      <c r="R118" s="16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273" t="s">
        <v>388</v>
      </c>
      <c r="AU118" s="214"/>
      <c r="AV118" s="150"/>
      <c r="AW118" s="150"/>
      <c r="AX118" s="150"/>
      <c r="AY118" s="151"/>
      <c r="AZ118" s="235">
        <v>50</v>
      </c>
      <c r="BA118" s="199"/>
      <c r="BB118" s="299">
        <f>AZ118*BB58</f>
        <v>176.21408150998045</v>
      </c>
    </row>
    <row r="119" spans="1:54" ht="12.75">
      <c r="A119" s="144"/>
      <c r="B119" s="144" t="s">
        <v>222</v>
      </c>
      <c r="C119" s="169"/>
      <c r="D119" s="228"/>
      <c r="E119" s="228"/>
      <c r="F119" s="164"/>
      <c r="G119" s="227"/>
      <c r="H119" s="169"/>
      <c r="I119" s="164"/>
      <c r="J119" s="160"/>
      <c r="K119" s="160"/>
      <c r="L119" s="160"/>
      <c r="M119" s="160"/>
      <c r="N119" s="160"/>
      <c r="O119" s="160"/>
      <c r="P119" s="160"/>
      <c r="Q119" s="160"/>
      <c r="R119" s="16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273" t="s">
        <v>365</v>
      </c>
      <c r="AU119" s="214"/>
      <c r="AV119" s="150"/>
      <c r="AW119" s="150"/>
      <c r="AX119" s="150"/>
      <c r="AY119" s="151"/>
      <c r="AZ119" s="235">
        <v>56680</v>
      </c>
      <c r="BA119" s="199"/>
      <c r="BB119" s="299">
        <f>AZ119*BB58</f>
        <v>199756.2827997138</v>
      </c>
    </row>
    <row r="120" spans="1:54" ht="12.75">
      <c r="A120" s="143" t="s">
        <v>227</v>
      </c>
      <c r="B120" s="143" t="s">
        <v>238</v>
      </c>
      <c r="C120" s="197">
        <v>623125137</v>
      </c>
      <c r="D120" s="325">
        <v>695.661</v>
      </c>
      <c r="E120" s="325">
        <v>695.661</v>
      </c>
      <c r="F120" s="175">
        <v>4800</v>
      </c>
      <c r="G120" s="326">
        <f t="shared" si="2"/>
        <v>0</v>
      </c>
      <c r="H120" s="171"/>
      <c r="I120" s="175">
        <f>G120*F120</f>
        <v>0</v>
      </c>
      <c r="J120" s="160"/>
      <c r="K120" s="160"/>
      <c r="L120" s="160"/>
      <c r="M120" s="160"/>
      <c r="N120" s="160"/>
      <c r="O120" s="160"/>
      <c r="P120" s="160"/>
      <c r="Q120" s="160"/>
      <c r="R120" s="16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273"/>
      <c r="AU120" s="214"/>
      <c r="AV120" s="150"/>
      <c r="AW120" s="150"/>
      <c r="AX120" s="150"/>
      <c r="AY120" s="151"/>
      <c r="AZ120" s="235"/>
      <c r="BA120" s="199"/>
      <c r="BB120" s="299"/>
    </row>
    <row r="121" spans="1:54" ht="12.75">
      <c r="A121" s="144"/>
      <c r="B121" s="144" t="s">
        <v>222</v>
      </c>
      <c r="C121" s="169"/>
      <c r="D121" s="228"/>
      <c r="E121" s="228"/>
      <c r="F121" s="164"/>
      <c r="G121" s="227"/>
      <c r="H121" s="169"/>
      <c r="I121" s="164"/>
      <c r="J121" s="160"/>
      <c r="K121" s="160"/>
      <c r="L121" s="160"/>
      <c r="M121" s="160"/>
      <c r="N121" s="160"/>
      <c r="O121" s="160"/>
      <c r="P121" s="160"/>
      <c r="Q121" s="160"/>
      <c r="R121" s="16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02"/>
      <c r="AU121" s="150"/>
      <c r="AV121" s="150"/>
      <c r="AW121" s="150"/>
      <c r="AX121" s="150"/>
      <c r="AY121" s="151"/>
      <c r="AZ121" s="235"/>
      <c r="BA121" s="199"/>
      <c r="BB121" s="299"/>
    </row>
    <row r="122" spans="1:54" ht="12.75">
      <c r="A122" s="143" t="s">
        <v>228</v>
      </c>
      <c r="B122" s="143" t="s">
        <v>239</v>
      </c>
      <c r="C122" s="197">
        <v>623125142</v>
      </c>
      <c r="D122" s="325">
        <v>2548.0395</v>
      </c>
      <c r="E122" s="325">
        <v>2580.6454</v>
      </c>
      <c r="F122" s="175">
        <v>2400</v>
      </c>
      <c r="G122" s="326">
        <f t="shared" si="2"/>
        <v>32.60590000000002</v>
      </c>
      <c r="H122" s="171"/>
      <c r="I122" s="175">
        <f>G122*F122</f>
        <v>78254.16000000005</v>
      </c>
      <c r="J122" s="160"/>
      <c r="K122" s="160"/>
      <c r="L122" s="160"/>
      <c r="M122" s="160"/>
      <c r="N122" s="160"/>
      <c r="O122" s="160"/>
      <c r="P122" s="160"/>
      <c r="Q122" s="160"/>
      <c r="R122" s="16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02"/>
      <c r="AU122" s="150"/>
      <c r="AV122" s="150"/>
      <c r="AW122" s="150"/>
      <c r="AX122" s="150"/>
      <c r="AY122" s="151"/>
      <c r="AZ122" s="235"/>
      <c r="BA122" s="199"/>
      <c r="BB122" s="299"/>
    </row>
    <row r="123" spans="1:54" ht="12.75">
      <c r="A123" s="144"/>
      <c r="B123" s="144" t="s">
        <v>222</v>
      </c>
      <c r="C123" s="169"/>
      <c r="D123" s="228"/>
      <c r="E123" s="228"/>
      <c r="F123" s="164"/>
      <c r="G123" s="227"/>
      <c r="H123" s="169"/>
      <c r="I123" s="164"/>
      <c r="J123" s="160"/>
      <c r="K123" s="160"/>
      <c r="L123" s="160"/>
      <c r="M123" s="160"/>
      <c r="N123" s="160"/>
      <c r="O123" s="160"/>
      <c r="P123" s="160"/>
      <c r="Q123" s="160"/>
      <c r="R123" s="16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02"/>
      <c r="AU123" s="150"/>
      <c r="AV123" s="150"/>
      <c r="AW123" s="150"/>
      <c r="AX123" s="150"/>
      <c r="AY123" s="151"/>
      <c r="AZ123" s="235"/>
      <c r="BA123" s="199"/>
      <c r="BB123" s="299"/>
    </row>
    <row r="124" spans="1:54" ht="12.75">
      <c r="A124" s="143" t="s">
        <v>229</v>
      </c>
      <c r="B124" s="143" t="s">
        <v>240</v>
      </c>
      <c r="C124" s="197">
        <v>623125205</v>
      </c>
      <c r="D124" s="325">
        <v>2025.5478</v>
      </c>
      <c r="E124" s="325">
        <v>2068.4945</v>
      </c>
      <c r="F124" s="175">
        <v>1800</v>
      </c>
      <c r="G124" s="326">
        <f t="shared" si="2"/>
        <v>42.94669999999974</v>
      </c>
      <c r="H124" s="171"/>
      <c r="I124" s="175">
        <f>G124*F124</f>
        <v>77304.05999999953</v>
      </c>
      <c r="J124" s="160"/>
      <c r="K124" s="160"/>
      <c r="L124" s="160"/>
      <c r="M124" s="160"/>
      <c r="N124" s="160"/>
      <c r="O124" s="160"/>
      <c r="P124" s="160"/>
      <c r="Q124" s="160"/>
      <c r="R124" s="16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02"/>
      <c r="AU124" s="150"/>
      <c r="AV124" s="150"/>
      <c r="AW124" s="150"/>
      <c r="AX124" s="150"/>
      <c r="AY124" s="151"/>
      <c r="AZ124" s="235"/>
      <c r="BA124" s="199"/>
      <c r="BB124" s="299"/>
    </row>
    <row r="125" spans="1:54" ht="12.75">
      <c r="A125" s="144"/>
      <c r="B125" s="144" t="s">
        <v>222</v>
      </c>
      <c r="C125" s="169"/>
      <c r="D125" s="228"/>
      <c r="E125" s="228"/>
      <c r="F125" s="164"/>
      <c r="G125" s="227"/>
      <c r="H125" s="169"/>
      <c r="I125" s="164"/>
      <c r="J125" s="160"/>
      <c r="K125" s="160"/>
      <c r="L125" s="160"/>
      <c r="M125" s="160"/>
      <c r="N125" s="160"/>
      <c r="O125" s="160"/>
      <c r="P125" s="160"/>
      <c r="Q125" s="160"/>
      <c r="R125" s="16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02"/>
      <c r="AU125" s="150"/>
      <c r="AV125" s="150"/>
      <c r="AW125" s="150"/>
      <c r="AX125" s="150"/>
      <c r="AY125" s="151"/>
      <c r="AZ125" s="235"/>
      <c r="BA125" s="199"/>
      <c r="BB125" s="299"/>
    </row>
    <row r="126" spans="1:54" ht="12.75">
      <c r="A126" s="143" t="s">
        <v>230</v>
      </c>
      <c r="B126" s="143" t="s">
        <v>241</v>
      </c>
      <c r="C126" s="197">
        <v>623123704</v>
      </c>
      <c r="D126" s="325">
        <v>2468.9964</v>
      </c>
      <c r="E126" s="325">
        <v>2513.7621</v>
      </c>
      <c r="F126" s="175">
        <v>1800</v>
      </c>
      <c r="G126" s="326">
        <f t="shared" si="2"/>
        <v>44.765699999999924</v>
      </c>
      <c r="H126" s="171"/>
      <c r="I126" s="175">
        <f>G126*F126</f>
        <v>80578.25999999986</v>
      </c>
      <c r="J126" s="160"/>
      <c r="K126" s="160"/>
      <c r="L126" s="160"/>
      <c r="M126" s="160"/>
      <c r="N126" s="160"/>
      <c r="O126" s="160"/>
      <c r="P126" s="160"/>
      <c r="Q126" s="160"/>
      <c r="R126" s="16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02"/>
      <c r="AU126" s="150"/>
      <c r="AV126" s="219"/>
      <c r="AW126" s="219"/>
      <c r="AX126" s="150"/>
      <c r="AY126" s="151"/>
      <c r="AZ126" s="235"/>
      <c r="BA126" s="199"/>
      <c r="BB126" s="299"/>
    </row>
    <row r="127" spans="1:54" ht="12.75">
      <c r="A127" s="144"/>
      <c r="B127" s="144" t="s">
        <v>222</v>
      </c>
      <c r="C127" s="169"/>
      <c r="D127" s="228"/>
      <c r="E127" s="228"/>
      <c r="F127" s="164"/>
      <c r="G127" s="227"/>
      <c r="H127" s="169"/>
      <c r="I127" s="164"/>
      <c r="J127" s="160"/>
      <c r="K127" s="160"/>
      <c r="L127" s="160"/>
      <c r="M127" s="160"/>
      <c r="N127" s="160"/>
      <c r="O127" s="160"/>
      <c r="P127" s="160"/>
      <c r="Q127" s="160"/>
      <c r="R127" s="16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60"/>
      <c r="AU127" s="120"/>
      <c r="AV127" s="120"/>
      <c r="AW127" s="120"/>
      <c r="AX127" s="120"/>
      <c r="AY127" s="120"/>
      <c r="AZ127" s="274"/>
      <c r="BA127" s="120"/>
      <c r="BB127" s="120"/>
    </row>
    <row r="128" spans="1:54" ht="12.75">
      <c r="A128" s="143" t="s">
        <v>231</v>
      </c>
      <c r="B128" s="143" t="s">
        <v>242</v>
      </c>
      <c r="C128" s="197">
        <v>623125794</v>
      </c>
      <c r="D128" s="325">
        <v>120.2821</v>
      </c>
      <c r="E128" s="325">
        <v>133.3565</v>
      </c>
      <c r="F128" s="175">
        <v>1800</v>
      </c>
      <c r="G128" s="326">
        <f>E128-D128</f>
        <v>13.074400000000011</v>
      </c>
      <c r="H128" s="171"/>
      <c r="I128" s="175">
        <f>G128*F128</f>
        <v>23533.92000000002</v>
      </c>
      <c r="J128" s="160"/>
      <c r="K128" s="160"/>
      <c r="L128" s="160"/>
      <c r="M128" s="160"/>
      <c r="N128" s="160"/>
      <c r="O128" s="160"/>
      <c r="P128" s="160"/>
      <c r="Q128" s="160"/>
      <c r="R128" s="16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60"/>
      <c r="AU128" s="120"/>
      <c r="AV128" s="120"/>
      <c r="AW128" s="120"/>
      <c r="AX128" s="120"/>
      <c r="AY128" s="120"/>
      <c r="AZ128" s="274"/>
      <c r="BA128" s="120"/>
      <c r="BB128" s="120"/>
    </row>
    <row r="129" spans="1:54" ht="12.75">
      <c r="A129" s="144"/>
      <c r="B129" s="144" t="s">
        <v>222</v>
      </c>
      <c r="C129" s="169"/>
      <c r="D129" s="228"/>
      <c r="E129" s="228"/>
      <c r="F129" s="164"/>
      <c r="G129" s="227"/>
      <c r="H129" s="169"/>
      <c r="I129" s="164"/>
      <c r="J129" s="160"/>
      <c r="K129" s="160"/>
      <c r="L129" s="160"/>
      <c r="M129" s="160"/>
      <c r="N129" s="160"/>
      <c r="O129" s="160"/>
      <c r="P129" s="160"/>
      <c r="Q129" s="160"/>
      <c r="R129" s="16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60"/>
      <c r="AU129" s="120"/>
      <c r="AV129" s="120"/>
      <c r="AW129" s="120"/>
      <c r="AX129" s="120"/>
      <c r="AY129" s="120"/>
      <c r="AZ129" s="274"/>
      <c r="BA129" s="120"/>
      <c r="BB129" s="120"/>
    </row>
    <row r="130" spans="1:54" ht="12.75">
      <c r="A130" s="143" t="s">
        <v>232</v>
      </c>
      <c r="B130" s="143" t="s">
        <v>243</v>
      </c>
      <c r="C130" s="197">
        <v>623125736</v>
      </c>
      <c r="D130" s="325">
        <v>3028.7252</v>
      </c>
      <c r="E130" s="325">
        <v>3067.6701</v>
      </c>
      <c r="F130" s="175">
        <v>1200</v>
      </c>
      <c r="G130" s="326">
        <f t="shared" si="2"/>
        <v>38.94489999999996</v>
      </c>
      <c r="H130" s="171"/>
      <c r="I130" s="175">
        <f>G130*F130</f>
        <v>46733.879999999954</v>
      </c>
      <c r="J130" s="160"/>
      <c r="K130" s="160"/>
      <c r="L130" s="160"/>
      <c r="M130" s="160"/>
      <c r="N130" s="160"/>
      <c r="O130" s="160"/>
      <c r="P130" s="160"/>
      <c r="Q130" s="160"/>
      <c r="R130" s="16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60"/>
      <c r="AU130" s="120"/>
      <c r="AV130" s="120"/>
      <c r="AW130" s="120"/>
      <c r="AX130" s="120"/>
      <c r="AY130" s="120"/>
      <c r="AZ130" s="274"/>
      <c r="BA130" s="120"/>
      <c r="BB130" s="120"/>
    </row>
    <row r="131" spans="1:54" ht="12.75">
      <c r="A131" s="144"/>
      <c r="B131" s="144" t="s">
        <v>222</v>
      </c>
      <c r="C131" s="168"/>
      <c r="D131" s="228"/>
      <c r="E131" s="228"/>
      <c r="F131" s="164"/>
      <c r="G131" s="227"/>
      <c r="H131" s="169"/>
      <c r="I131" s="164"/>
      <c r="J131" s="160"/>
      <c r="K131" s="160"/>
      <c r="L131" s="160"/>
      <c r="M131" s="160"/>
      <c r="N131" s="160"/>
      <c r="O131" s="160"/>
      <c r="P131" s="160"/>
      <c r="Q131" s="160"/>
      <c r="R131" s="16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60"/>
      <c r="AU131" s="120" t="s">
        <v>9</v>
      </c>
      <c r="AV131" s="120"/>
      <c r="AW131" s="120"/>
      <c r="AX131" s="120"/>
      <c r="AY131" s="120"/>
      <c r="AZ131" s="301">
        <f>AZ9</f>
        <v>5551860</v>
      </c>
      <c r="BA131" s="120"/>
      <c r="BB131" s="275">
        <f>SUM(BB93:BB96)+BB103+BB109+SUM(BB112:BB126)</f>
        <v>19566318.211439997</v>
      </c>
    </row>
    <row r="132" spans="1:54" ht="12.75">
      <c r="A132" s="143" t="s">
        <v>233</v>
      </c>
      <c r="B132" s="145" t="s">
        <v>234</v>
      </c>
      <c r="C132" s="197">
        <v>1110171156</v>
      </c>
      <c r="D132" s="325">
        <v>1528.1128</v>
      </c>
      <c r="E132" s="325">
        <v>1586.7468</v>
      </c>
      <c r="F132" s="175">
        <v>40</v>
      </c>
      <c r="G132" s="326">
        <f t="shared" si="2"/>
        <v>58.63399999999979</v>
      </c>
      <c r="H132" s="171"/>
      <c r="I132" s="175">
        <f>G132*F132</f>
        <v>2345.3599999999915</v>
      </c>
      <c r="J132" s="160"/>
      <c r="K132" s="160"/>
      <c r="L132" s="160"/>
      <c r="M132" s="160"/>
      <c r="N132" s="160"/>
      <c r="O132" s="160"/>
      <c r="P132" s="160"/>
      <c r="Q132" s="160"/>
      <c r="R132" s="16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60"/>
      <c r="AU132" s="120"/>
      <c r="AV132" s="120"/>
      <c r="AW132" s="120"/>
      <c r="AX132" s="120"/>
      <c r="AY132" s="120"/>
      <c r="AZ132" s="274"/>
      <c r="BA132" s="120"/>
      <c r="BB132" s="120"/>
    </row>
    <row r="133" spans="1:54" ht="12.75">
      <c r="A133" s="144"/>
      <c r="B133" s="103" t="s">
        <v>222</v>
      </c>
      <c r="C133" s="169"/>
      <c r="D133" s="379"/>
      <c r="E133" s="228"/>
      <c r="F133" s="164"/>
      <c r="G133" s="229"/>
      <c r="H133" s="169"/>
      <c r="I133" s="164"/>
      <c r="J133" s="160"/>
      <c r="K133" s="160"/>
      <c r="L133" s="160"/>
      <c r="M133" s="160"/>
      <c r="N133" s="160"/>
      <c r="O133" s="160"/>
      <c r="P133" s="160"/>
      <c r="Q133" s="160"/>
      <c r="R133" s="16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60"/>
      <c r="AU133" s="120"/>
      <c r="AV133" s="120"/>
      <c r="AW133" s="120"/>
      <c r="AX133" s="120"/>
      <c r="AY133" s="120"/>
      <c r="AZ133" s="120"/>
      <c r="BA133" s="120"/>
      <c r="BB133" s="120"/>
    </row>
    <row r="134" spans="1:54" ht="12.75">
      <c r="A134" s="201"/>
      <c r="B134" s="150"/>
      <c r="C134" s="191"/>
      <c r="D134" s="199"/>
      <c r="E134" s="200"/>
      <c r="F134" s="200"/>
      <c r="G134" s="215" t="s">
        <v>244</v>
      </c>
      <c r="H134" s="151"/>
      <c r="I134" s="235">
        <f>SUM(I112:I133)+I107</f>
        <v>2009842.519999994</v>
      </c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60" t="s">
        <v>613</v>
      </c>
      <c r="AU134" s="120"/>
      <c r="AV134" s="120"/>
      <c r="AW134" s="120"/>
      <c r="AX134" s="120"/>
      <c r="AY134" s="120"/>
      <c r="AZ134" s="120"/>
      <c r="BA134" s="120"/>
      <c r="BB134" s="120"/>
    </row>
    <row r="135" spans="1:54" ht="12.75">
      <c r="A135" s="143" t="s">
        <v>247</v>
      </c>
      <c r="B135" s="145" t="s">
        <v>245</v>
      </c>
      <c r="C135" s="202"/>
      <c r="D135" s="202"/>
      <c r="E135" s="203"/>
      <c r="F135" s="203"/>
      <c r="G135" s="204"/>
      <c r="H135" s="146"/>
      <c r="I135" s="205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60"/>
      <c r="AU135" s="120"/>
      <c r="AV135" s="120"/>
      <c r="AW135" s="120"/>
      <c r="AX135" s="120"/>
      <c r="AY135" s="120"/>
      <c r="AZ135" s="120"/>
      <c r="BA135" s="120"/>
      <c r="BB135" s="120"/>
    </row>
    <row r="136" spans="1:54" ht="12.75">
      <c r="A136" s="173"/>
      <c r="B136" s="159" t="s">
        <v>246</v>
      </c>
      <c r="C136" s="206"/>
      <c r="D136" s="191"/>
      <c r="E136" s="207"/>
      <c r="F136" s="207"/>
      <c r="G136" s="208"/>
      <c r="H136" s="148"/>
      <c r="I136" s="209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60" t="s">
        <v>143</v>
      </c>
      <c r="AU136" s="120"/>
      <c r="AV136" s="120"/>
      <c r="AW136" s="120"/>
      <c r="AX136" s="120"/>
      <c r="AY136" s="120"/>
      <c r="AZ136" s="120"/>
      <c r="BA136" s="120"/>
      <c r="BB136" s="120"/>
    </row>
    <row r="137" spans="1:54" ht="12.75">
      <c r="A137" s="145" t="s">
        <v>248</v>
      </c>
      <c r="B137" s="143" t="s">
        <v>489</v>
      </c>
      <c r="C137" s="304"/>
      <c r="D137" s="211"/>
      <c r="E137" s="211"/>
      <c r="F137" s="155"/>
      <c r="G137" s="212"/>
      <c r="H137" s="152"/>
      <c r="I137" s="155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60"/>
      <c r="AU137" s="120"/>
      <c r="AV137" s="120"/>
      <c r="AW137" s="120"/>
      <c r="AX137" s="120"/>
      <c r="AY137" s="120"/>
      <c r="AZ137" s="120"/>
      <c r="BA137" s="120"/>
      <c r="BB137" s="120"/>
    </row>
    <row r="138" spans="1:54" ht="12.75">
      <c r="A138" s="159"/>
      <c r="B138" s="173"/>
      <c r="C138" s="305">
        <v>611127627</v>
      </c>
      <c r="D138" s="302">
        <v>2560.888</v>
      </c>
      <c r="E138" s="302">
        <v>2562.9344</v>
      </c>
      <c r="F138" s="155">
        <v>40</v>
      </c>
      <c r="G138" s="252">
        <f>E138-D138</f>
        <v>2.046400000000176</v>
      </c>
      <c r="H138" s="155"/>
      <c r="I138" s="155">
        <f>ROUND(F138*G138+H138,0)</f>
        <v>82</v>
      </c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60"/>
      <c r="AU138" s="120"/>
      <c r="AV138" s="120"/>
      <c r="AW138" s="120"/>
      <c r="AX138" s="120"/>
      <c r="AY138" s="120"/>
      <c r="AZ138" s="120"/>
      <c r="BA138" s="120"/>
      <c r="BB138" s="120"/>
    </row>
    <row r="139" spans="1:54" ht="12.75">
      <c r="A139" s="159"/>
      <c r="B139" s="144" t="s">
        <v>467</v>
      </c>
      <c r="C139" s="305"/>
      <c r="D139" s="306"/>
      <c r="E139" s="306"/>
      <c r="F139" s="155"/>
      <c r="G139" s="212"/>
      <c r="H139" s="155"/>
      <c r="I139" s="155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</row>
    <row r="140" spans="1:54" ht="12.75">
      <c r="A140" s="143" t="s">
        <v>251</v>
      </c>
      <c r="B140" s="161"/>
      <c r="C140" s="213">
        <v>810120245</v>
      </c>
      <c r="D140" s="302">
        <v>1341.237</v>
      </c>
      <c r="E140" s="302">
        <v>1341.549</v>
      </c>
      <c r="F140" s="155">
        <v>3600</v>
      </c>
      <c r="G140" s="252">
        <f aca="true" t="shared" si="3" ref="G140:G145">E140-D140</f>
        <v>0.31199999999989814</v>
      </c>
      <c r="H140" s="155"/>
      <c r="I140" s="155">
        <f aca="true" t="shared" si="4" ref="I140:I145">ROUND(F140*G140+H140,0)</f>
        <v>1123</v>
      </c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</row>
    <row r="141" spans="1:54" ht="12.75">
      <c r="A141" s="173"/>
      <c r="B141" s="161" t="s">
        <v>495</v>
      </c>
      <c r="C141" s="213"/>
      <c r="D141" s="302"/>
      <c r="E141" s="302"/>
      <c r="F141" s="155"/>
      <c r="G141" s="252"/>
      <c r="H141" s="96"/>
      <c r="I141" s="155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</row>
    <row r="142" spans="1:54" ht="12.75">
      <c r="A142" s="173"/>
      <c r="B142" s="161"/>
      <c r="C142" s="210">
        <v>4050284</v>
      </c>
      <c r="D142" s="230">
        <v>4289.9164</v>
      </c>
      <c r="E142" s="230">
        <v>4312.4011</v>
      </c>
      <c r="F142" s="155">
        <v>3600</v>
      </c>
      <c r="G142" s="253">
        <f t="shared" si="3"/>
        <v>22.484699999999975</v>
      </c>
      <c r="H142" s="96"/>
      <c r="I142" s="155">
        <f t="shared" si="4"/>
        <v>80945</v>
      </c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</row>
    <row r="143" spans="1:54" ht="12.75">
      <c r="A143" s="144"/>
      <c r="B143" s="149"/>
      <c r="C143" s="210"/>
      <c r="D143" s="230"/>
      <c r="E143" s="230"/>
      <c r="F143" s="155"/>
      <c r="G143" s="253"/>
      <c r="H143" s="96"/>
      <c r="I143" s="155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</row>
    <row r="144" spans="1:54" ht="12.75">
      <c r="A144" s="173" t="s">
        <v>252</v>
      </c>
      <c r="B144" s="143" t="s">
        <v>218</v>
      </c>
      <c r="C144" s="152"/>
      <c r="D144" s="211"/>
      <c r="E144" s="211"/>
      <c r="F144" s="155"/>
      <c r="G144" s="212"/>
      <c r="H144" s="96"/>
      <c r="I144" s="155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</row>
    <row r="145" spans="1:54" ht="12.75">
      <c r="A145" s="307"/>
      <c r="B145" s="173" t="s">
        <v>217</v>
      </c>
      <c r="C145" s="305">
        <v>611127492</v>
      </c>
      <c r="D145" s="302">
        <v>6003.968</v>
      </c>
      <c r="E145" s="302">
        <v>6074.0916</v>
      </c>
      <c r="F145" s="155">
        <v>20</v>
      </c>
      <c r="G145" s="252">
        <f t="shared" si="3"/>
        <v>70.1235999999999</v>
      </c>
      <c r="H145" s="155"/>
      <c r="I145" s="155">
        <f t="shared" si="4"/>
        <v>1402</v>
      </c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</row>
    <row r="146" spans="1:54" ht="12.75">
      <c r="A146" s="145" t="s">
        <v>253</v>
      </c>
      <c r="B146" s="143" t="s">
        <v>490</v>
      </c>
      <c r="C146" s="309"/>
      <c r="D146" s="211"/>
      <c r="E146" s="211"/>
      <c r="F146" s="155"/>
      <c r="G146" s="212"/>
      <c r="H146" s="96"/>
      <c r="I146" s="155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</row>
    <row r="147" spans="1:54" ht="12.75">
      <c r="A147" s="308"/>
      <c r="B147" s="168" t="s">
        <v>546</v>
      </c>
      <c r="C147" s="305">
        <v>611127702</v>
      </c>
      <c r="D147" s="302">
        <v>7007.0476</v>
      </c>
      <c r="E147" s="302">
        <v>7022.7276</v>
      </c>
      <c r="F147" s="155">
        <v>60</v>
      </c>
      <c r="G147" s="252">
        <f>E147-D147</f>
        <v>15.680000000000291</v>
      </c>
      <c r="H147" s="96"/>
      <c r="I147" s="155">
        <f>ROUND(F147*G147+H147,0)</f>
        <v>941</v>
      </c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</row>
    <row r="148" spans="1:54" ht="12.75">
      <c r="A148" s="159"/>
      <c r="B148" s="168" t="s">
        <v>547</v>
      </c>
      <c r="C148" s="305">
        <v>611127555</v>
      </c>
      <c r="D148" s="302">
        <v>2052.3356</v>
      </c>
      <c r="E148" s="302">
        <v>2128.9648</v>
      </c>
      <c r="F148" s="155">
        <v>60</v>
      </c>
      <c r="G148" s="252">
        <f>E148-D148</f>
        <v>76.62920000000031</v>
      </c>
      <c r="H148" s="96"/>
      <c r="I148" s="155">
        <f>ROUND(F148*G148+H148,0)</f>
        <v>4598</v>
      </c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</row>
    <row r="149" spans="1:54" ht="12.75">
      <c r="A149" s="145" t="s">
        <v>258</v>
      </c>
      <c r="B149" s="143" t="s">
        <v>491</v>
      </c>
      <c r="C149" s="310"/>
      <c r="D149" s="232"/>
      <c r="E149" s="232"/>
      <c r="F149" s="155"/>
      <c r="G149" s="212"/>
      <c r="H149" s="96"/>
      <c r="I149" s="155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</row>
    <row r="150" spans="1:54" ht="12.75">
      <c r="A150" s="308"/>
      <c r="B150" s="173"/>
      <c r="C150" s="305">
        <v>1110171163</v>
      </c>
      <c r="D150" s="230">
        <v>582.7704</v>
      </c>
      <c r="E150" s="230">
        <v>605.592</v>
      </c>
      <c r="F150" s="155">
        <v>60</v>
      </c>
      <c r="G150" s="252">
        <f>E150-D150</f>
        <v>22.82159999999999</v>
      </c>
      <c r="H150" s="96"/>
      <c r="I150" s="155">
        <f>ROUND(F150*G150+H150,0)</f>
        <v>1369</v>
      </c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</row>
    <row r="151" spans="1:54" ht="12.75">
      <c r="A151" s="159"/>
      <c r="B151" s="173"/>
      <c r="C151" s="305"/>
      <c r="D151" s="211"/>
      <c r="E151" s="211"/>
      <c r="F151" s="155"/>
      <c r="G151" s="212"/>
      <c r="H151" s="96"/>
      <c r="I151" s="155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</row>
    <row r="152" spans="1:54" ht="12.75">
      <c r="A152" s="145" t="s">
        <v>260</v>
      </c>
      <c r="B152" s="143" t="s">
        <v>492</v>
      </c>
      <c r="C152" s="311"/>
      <c r="D152" s="232"/>
      <c r="E152" s="232"/>
      <c r="F152" s="155"/>
      <c r="G152" s="212"/>
      <c r="H152" s="96"/>
      <c r="I152" s="155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</row>
    <row r="153" spans="1:54" ht="12.75">
      <c r="A153" s="159"/>
      <c r="B153" s="173"/>
      <c r="C153" s="305">
        <v>1110171170</v>
      </c>
      <c r="D153" s="302">
        <v>200.052</v>
      </c>
      <c r="E153" s="302">
        <v>205.0288</v>
      </c>
      <c r="F153" s="155">
        <v>40</v>
      </c>
      <c r="G153" s="252">
        <f>E153-D153</f>
        <v>4.976799999999997</v>
      </c>
      <c r="H153" s="155"/>
      <c r="I153" s="155">
        <f>ROUND(F153*G153+H153,0)</f>
        <v>199</v>
      </c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</row>
    <row r="154" spans="1:54" ht="12.75">
      <c r="A154" s="159"/>
      <c r="B154" s="173"/>
      <c r="C154" s="305"/>
      <c r="D154" s="306"/>
      <c r="E154" s="306"/>
      <c r="F154" s="155"/>
      <c r="G154" s="212"/>
      <c r="H154" s="155"/>
      <c r="I154" s="155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</row>
    <row r="155" spans="1:54" ht="12.75">
      <c r="A155" s="143" t="s">
        <v>261</v>
      </c>
      <c r="B155" s="147" t="s">
        <v>541</v>
      </c>
      <c r="C155" s="305">
        <v>611126342</v>
      </c>
      <c r="D155" s="302">
        <v>6059.7548</v>
      </c>
      <c r="E155" s="302">
        <v>6059.7548</v>
      </c>
      <c r="F155" s="155">
        <v>1800</v>
      </c>
      <c r="G155" s="252">
        <f>E155-D155</f>
        <v>0</v>
      </c>
      <c r="H155" s="155"/>
      <c r="I155" s="155">
        <f>ROUND(F155*G155+H155,0)</f>
        <v>0</v>
      </c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</row>
    <row r="156" spans="1:54" ht="12.75">
      <c r="A156" s="173"/>
      <c r="B156" s="161" t="s">
        <v>469</v>
      </c>
      <c r="C156" s="305">
        <v>611126404</v>
      </c>
      <c r="D156" s="302">
        <v>895.4243</v>
      </c>
      <c r="E156" s="302">
        <v>905.5275</v>
      </c>
      <c r="F156" s="155">
        <v>1800</v>
      </c>
      <c r="G156" s="252">
        <f>E156-D156</f>
        <v>10.103200000000015</v>
      </c>
      <c r="H156" s="155"/>
      <c r="I156" s="155">
        <f>ROUND(F156*G156+H156,0)</f>
        <v>18186</v>
      </c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</row>
    <row r="157" spans="1:54" ht="12.75">
      <c r="A157" s="144"/>
      <c r="B157" s="149" t="s">
        <v>509</v>
      </c>
      <c r="C157" s="305">
        <v>611126334</v>
      </c>
      <c r="D157" s="302">
        <v>0.1356</v>
      </c>
      <c r="E157" s="302">
        <v>0.1356</v>
      </c>
      <c r="F157" s="155">
        <v>1800</v>
      </c>
      <c r="G157" s="252">
        <f>E157-D157</f>
        <v>0</v>
      </c>
      <c r="H157" s="96"/>
      <c r="I157" s="155">
        <f>ROUND(F157*G157+H157,0)</f>
        <v>0</v>
      </c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</row>
    <row r="158" spans="1:54" ht="12.75">
      <c r="A158" s="159" t="s">
        <v>477</v>
      </c>
      <c r="B158" s="143" t="s">
        <v>493</v>
      </c>
      <c r="C158" s="305">
        <v>611127724</v>
      </c>
      <c r="D158" s="302">
        <v>666.4916</v>
      </c>
      <c r="E158" s="302">
        <v>676.9168</v>
      </c>
      <c r="F158" s="155">
        <v>30</v>
      </c>
      <c r="G158" s="252">
        <f>E158-D158</f>
        <v>10.425200000000018</v>
      </c>
      <c r="H158" s="155"/>
      <c r="I158" s="155">
        <f>ROUND(F158*G158+H158,0)</f>
        <v>313</v>
      </c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</row>
    <row r="159" spans="1:54" ht="12.75">
      <c r="A159" s="103"/>
      <c r="B159" s="173" t="s">
        <v>540</v>
      </c>
      <c r="C159" s="305"/>
      <c r="D159" s="306"/>
      <c r="E159" s="306"/>
      <c r="F159" s="155"/>
      <c r="G159" s="212"/>
      <c r="H159" s="155"/>
      <c r="I159" s="155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</row>
    <row r="160" spans="1:54" ht="12.75">
      <c r="A160" s="96"/>
      <c r="B160" s="312"/>
      <c r="C160" s="171"/>
      <c r="D160" s="306"/>
      <c r="E160" s="306"/>
      <c r="F160" s="155"/>
      <c r="G160" s="212"/>
      <c r="H160" s="155"/>
      <c r="I160" s="155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</row>
    <row r="161" spans="1:54" ht="12.75">
      <c r="A161" s="103"/>
      <c r="B161" s="148"/>
      <c r="C161" s="150"/>
      <c r="D161" s="150"/>
      <c r="E161" s="150"/>
      <c r="F161" s="150" t="s">
        <v>264</v>
      </c>
      <c r="G161" s="150"/>
      <c r="H161" s="151"/>
      <c r="I161" s="235">
        <f>SUM(I137:I159)-I160</f>
        <v>109158</v>
      </c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</row>
    <row r="162" spans="1:54" ht="12.75">
      <c r="A162" s="102"/>
      <c r="B162" s="150"/>
      <c r="C162" s="150"/>
      <c r="D162" s="150"/>
      <c r="E162" s="150"/>
      <c r="F162" s="150"/>
      <c r="G162" s="150" t="s">
        <v>265</v>
      </c>
      <c r="H162" s="151"/>
      <c r="I162" s="235">
        <f>I103+I104+I107+I108+I109+I110-I134-I161</f>
        <v>2852686.4799999986</v>
      </c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</row>
    <row r="163" spans="1:54" ht="12.75">
      <c r="A163" s="96" t="s">
        <v>272</v>
      </c>
      <c r="B163" s="102" t="s">
        <v>266</v>
      </c>
      <c r="C163" s="150"/>
      <c r="D163" s="150"/>
      <c r="E163" s="150"/>
      <c r="F163" s="150"/>
      <c r="G163" s="150"/>
      <c r="H163" s="150"/>
      <c r="I163" s="151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</row>
    <row r="164" spans="1:54" ht="12.75">
      <c r="A164" s="143" t="s">
        <v>270</v>
      </c>
      <c r="B164" s="143" t="s">
        <v>267</v>
      </c>
      <c r="C164" s="171">
        <v>18705639</v>
      </c>
      <c r="D164" s="321">
        <v>38</v>
      </c>
      <c r="E164" s="321">
        <v>38</v>
      </c>
      <c r="F164" s="175">
        <v>30</v>
      </c>
      <c r="G164" s="322">
        <f>E164-D164</f>
        <v>0</v>
      </c>
      <c r="H164" s="143"/>
      <c r="I164" s="175">
        <f>F164*G164+H164</f>
        <v>0</v>
      </c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</row>
    <row r="165" spans="1:54" ht="12.75">
      <c r="A165" s="144"/>
      <c r="B165" s="144" t="s">
        <v>268</v>
      </c>
      <c r="C165" s="169"/>
      <c r="D165" s="144"/>
      <c r="E165" s="144"/>
      <c r="F165" s="164"/>
      <c r="G165" s="144"/>
      <c r="H165" s="144"/>
      <c r="I165" s="144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</row>
    <row r="166" spans="1:54" ht="12.75">
      <c r="A166" s="143" t="s">
        <v>271</v>
      </c>
      <c r="B166" s="143" t="s">
        <v>269</v>
      </c>
      <c r="C166" s="171">
        <v>18705843</v>
      </c>
      <c r="D166" s="321">
        <v>204.4</v>
      </c>
      <c r="E166" s="321">
        <v>204.4</v>
      </c>
      <c r="F166" s="175">
        <v>30</v>
      </c>
      <c r="G166" s="233">
        <f>E166-D166</f>
        <v>0</v>
      </c>
      <c r="H166" s="143"/>
      <c r="I166" s="175">
        <f>F166*G166+H166</f>
        <v>0</v>
      </c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</row>
    <row r="167" spans="1:54" ht="12.75">
      <c r="A167" s="144"/>
      <c r="B167" s="144" t="s">
        <v>268</v>
      </c>
      <c r="C167" s="169"/>
      <c r="D167" s="144"/>
      <c r="E167" s="144"/>
      <c r="F167" s="164"/>
      <c r="G167" s="144"/>
      <c r="H167" s="144"/>
      <c r="I167" s="144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</row>
    <row r="168" spans="1:54" ht="12.75">
      <c r="A168" s="102"/>
      <c r="B168" s="150"/>
      <c r="C168" s="217"/>
      <c r="D168" s="199"/>
      <c r="E168" s="218"/>
      <c r="F168" s="218" t="s">
        <v>273</v>
      </c>
      <c r="G168" s="219"/>
      <c r="H168" s="151"/>
      <c r="I168" s="155">
        <f>I164+I166</f>
        <v>0</v>
      </c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</row>
    <row r="169" spans="1:54" ht="12.75">
      <c r="A169" s="102"/>
      <c r="B169" s="150"/>
      <c r="C169" s="217"/>
      <c r="D169" s="199"/>
      <c r="E169" s="218"/>
      <c r="F169" s="218"/>
      <c r="G169" s="219" t="s">
        <v>274</v>
      </c>
      <c r="H169" s="151"/>
      <c r="I169" s="235">
        <f>I162+I168</f>
        <v>2852686.4799999986</v>
      </c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</row>
    <row r="170" spans="1:54" ht="12.75">
      <c r="A170" s="145" t="s">
        <v>275</v>
      </c>
      <c r="B170" s="146"/>
      <c r="C170" s="220"/>
      <c r="D170" s="202"/>
      <c r="E170" s="221"/>
      <c r="F170" s="221"/>
      <c r="G170" s="204"/>
      <c r="H170" s="146"/>
      <c r="I170" s="205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</row>
    <row r="171" spans="1:54" ht="12.75">
      <c r="A171" s="222" t="s">
        <v>538</v>
      </c>
      <c r="B171" s="223"/>
      <c r="C171" s="223"/>
      <c r="D171" s="191"/>
      <c r="E171" s="148"/>
      <c r="F171" s="148"/>
      <c r="G171" s="148"/>
      <c r="H171" s="148"/>
      <c r="I171" s="209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</row>
    <row r="172" spans="1:54" ht="12.75">
      <c r="A172" s="160" t="s">
        <v>279</v>
      </c>
      <c r="B172" s="160"/>
      <c r="C172" s="264"/>
      <c r="D172" s="181"/>
      <c r="E172" s="265"/>
      <c r="F172" s="265"/>
      <c r="G172" s="188"/>
      <c r="H172" s="160"/>
      <c r="I172" s="19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</row>
    <row r="173" spans="1:54" ht="12.75">
      <c r="A173" s="160"/>
      <c r="B173" s="160"/>
      <c r="C173" s="181"/>
      <c r="D173" s="313" t="s">
        <v>280</v>
      </c>
      <c r="E173" s="313"/>
      <c r="F173" s="314"/>
      <c r="G173" s="243"/>
      <c r="H173" s="243"/>
      <c r="I173" s="189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</row>
    <row r="174" spans="1:54" ht="12.75">
      <c r="A174" s="160"/>
      <c r="B174" s="160"/>
      <c r="C174" s="181"/>
      <c r="D174" s="313" t="s">
        <v>531</v>
      </c>
      <c r="E174" s="313"/>
      <c r="F174" s="314"/>
      <c r="G174" s="243"/>
      <c r="H174" s="243"/>
      <c r="I174" s="189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</row>
    <row r="175" spans="1:54" ht="12.75">
      <c r="A175" s="160"/>
      <c r="B175" s="160"/>
      <c r="C175" s="264"/>
      <c r="D175" s="313" t="s">
        <v>539</v>
      </c>
      <c r="E175" s="313"/>
      <c r="F175" s="314"/>
      <c r="G175" s="243"/>
      <c r="H175" s="243"/>
      <c r="I175" s="189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</row>
    <row r="176" spans="1:54" ht="12.75">
      <c r="A176" s="160"/>
      <c r="B176" s="160"/>
      <c r="C176" s="160"/>
      <c r="D176" s="160"/>
      <c r="E176" s="160"/>
      <c r="F176" s="160"/>
      <c r="G176" s="160"/>
      <c r="H176" s="160"/>
      <c r="I176" s="16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</row>
    <row r="177" spans="1:54" ht="12.75">
      <c r="A177" s="160"/>
      <c r="B177" s="160"/>
      <c r="C177" s="160"/>
      <c r="D177" s="160"/>
      <c r="E177" s="160"/>
      <c r="F177" s="160"/>
      <c r="G177" s="160"/>
      <c r="H177" s="160"/>
      <c r="I177" s="16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 t="s">
        <v>519</v>
      </c>
      <c r="BA177" s="120"/>
      <c r="BB177" s="120"/>
    </row>
    <row r="178" spans="1:54" ht="12.75">
      <c r="A178" s="160"/>
      <c r="B178" s="160"/>
      <c r="C178" s="315"/>
      <c r="D178" s="316"/>
      <c r="E178" s="316"/>
      <c r="F178" s="180"/>
      <c r="G178" s="317"/>
      <c r="H178" s="160"/>
      <c r="I178" s="18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 t="s">
        <v>513</v>
      </c>
      <c r="BA178" s="120" t="s">
        <v>109</v>
      </c>
      <c r="BB178" s="120"/>
    </row>
    <row r="179" spans="1:54" ht="12.75">
      <c r="A179" s="243"/>
      <c r="B179" s="160"/>
      <c r="C179" s="315"/>
      <c r="D179" s="316"/>
      <c r="E179" s="316"/>
      <c r="F179" s="180"/>
      <c r="G179" s="317"/>
      <c r="H179" s="160"/>
      <c r="I179" s="18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 t="s">
        <v>510</v>
      </c>
      <c r="AZ179" s="301">
        <f>AZ183+AZ184+AZ185</f>
        <v>3009267</v>
      </c>
      <c r="BA179" s="370">
        <f>AZ179*2.9</f>
        <v>8726874.299999999</v>
      </c>
      <c r="BB179" s="120"/>
    </row>
    <row r="180" spans="1:54" ht="12.75">
      <c r="A180" s="160"/>
      <c r="B180" s="160"/>
      <c r="C180" s="160"/>
      <c r="D180" s="160"/>
      <c r="E180" s="160"/>
      <c r="F180" s="160"/>
      <c r="G180" s="160"/>
      <c r="H180" s="160"/>
      <c r="I180" s="16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 t="s">
        <v>511</v>
      </c>
      <c r="AZ180" s="301">
        <f>AZ187-AZ179-AZ181</f>
        <v>2378813</v>
      </c>
      <c r="BA180" s="370">
        <f>AZ180*2.9</f>
        <v>6898557.7</v>
      </c>
      <c r="BB180" s="120"/>
    </row>
    <row r="181" spans="1:54" ht="12.75">
      <c r="A181" s="160"/>
      <c r="B181" s="160"/>
      <c r="C181" s="160"/>
      <c r="D181" s="160"/>
      <c r="E181" s="160"/>
      <c r="F181" s="160"/>
      <c r="G181" s="160"/>
      <c r="H181" s="160"/>
      <c r="I181" s="16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 t="s">
        <v>512</v>
      </c>
      <c r="AZ181" s="301">
        <f>AZ186</f>
        <v>163780</v>
      </c>
      <c r="BA181" s="370">
        <f>AZ181*2.9</f>
        <v>474962</v>
      </c>
      <c r="BB181" s="120"/>
    </row>
    <row r="182" spans="52:53" ht="12.75">
      <c r="AZ182" s="368"/>
      <c r="BA182" s="368"/>
    </row>
    <row r="183" spans="51:53" ht="12.75">
      <c r="AY183" s="120" t="s">
        <v>514</v>
      </c>
      <c r="AZ183" s="369">
        <v>2742934</v>
      </c>
      <c r="BA183" s="368"/>
    </row>
    <row r="184" spans="51:53" ht="12.75">
      <c r="AY184" s="120" t="s">
        <v>515</v>
      </c>
      <c r="AZ184" s="369">
        <f>AZ95</f>
        <v>84480</v>
      </c>
      <c r="BA184" s="368"/>
    </row>
    <row r="185" spans="51:53" ht="12.75">
      <c r="AY185" s="120" t="s">
        <v>517</v>
      </c>
      <c r="AZ185" s="369">
        <v>181853</v>
      </c>
      <c r="BA185" s="368"/>
    </row>
    <row r="186" spans="51:53" ht="12.75">
      <c r="AY186" s="120" t="s">
        <v>518</v>
      </c>
      <c r="AZ186" s="369">
        <v>163780</v>
      </c>
      <c r="BA186" s="368"/>
    </row>
    <row r="187" spans="51:52" ht="12.75">
      <c r="AY187" s="120" t="s">
        <v>516</v>
      </c>
      <c r="AZ187" s="369">
        <f>AZ131</f>
        <v>5551860</v>
      </c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 t="s">
        <v>552</v>
      </c>
      <c r="C196" s="4"/>
      <c r="D196" s="380">
        <v>42398</v>
      </c>
      <c r="E196" s="380">
        <v>42420</v>
      </c>
      <c r="F196" s="380">
        <v>1800</v>
      </c>
      <c r="G196" s="380">
        <f>E196-D196</f>
        <v>22</v>
      </c>
      <c r="H196" s="380"/>
      <c r="I196" s="155">
        <f>ROUND(F196*G196+H196,0)</f>
        <v>39600</v>
      </c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2.75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2.75">
      <c r="A200" s="11"/>
      <c r="B200" s="11"/>
      <c r="C200" s="11"/>
      <c r="D200" s="11"/>
      <c r="E200" s="11"/>
      <c r="F200" s="11"/>
      <c r="G200" s="11"/>
      <c r="H200" s="11"/>
      <c r="I200" s="11"/>
    </row>
    <row r="211" spans="1:4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spans="1:4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spans="1:4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spans="1:4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1:4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1:4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1:4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1:4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1:4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1:41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1:4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1:41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1:41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1:41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1:4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1:41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1:41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1:41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1:41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1:41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1:41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1:41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1:41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1:41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1:41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1:41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1:41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1:41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1:41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1:41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1:41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1:41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1:41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1:41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1:41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1:41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1:41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1:41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1:41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1:41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1:41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1:41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spans="1:41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spans="1:41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1:41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1:41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1:41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1:41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1:41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1:41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1:41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1:41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1:41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1:41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1:41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1:41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1:41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spans="1:41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</sheetData>
  <sheetProtection/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B200"/>
  <sheetViews>
    <sheetView tabSelected="1" zoomScalePageLayoutView="0" workbookViewId="0" topLeftCell="AP1">
      <selection activeCell="BA2" sqref="BA2"/>
    </sheetView>
  </sheetViews>
  <sheetFormatPr defaultColWidth="9.00390625" defaultRowHeight="12.75"/>
  <cols>
    <col min="1" max="1" width="6.375" style="0" customWidth="1"/>
    <col min="2" max="2" width="38.875" style="0" customWidth="1"/>
    <col min="3" max="3" width="16.625" style="0" customWidth="1"/>
    <col min="4" max="4" width="10.625" style="0" customWidth="1"/>
    <col min="5" max="5" width="11.625" style="0" customWidth="1"/>
    <col min="7" max="7" width="11.125" style="0" customWidth="1"/>
    <col min="8" max="8" width="8.75390625" style="0" customWidth="1"/>
    <col min="9" max="9" width="11.125" style="0" customWidth="1"/>
    <col min="10" max="10" width="6.125" style="0" customWidth="1"/>
    <col min="11" max="11" width="38.25390625" style="0" customWidth="1"/>
    <col min="12" max="12" width="16.75390625" style="0" customWidth="1"/>
    <col min="13" max="13" width="11.00390625" style="0" customWidth="1"/>
    <col min="14" max="14" width="10.75390625" style="0" customWidth="1"/>
    <col min="15" max="15" width="10.00390625" style="0" customWidth="1"/>
    <col min="16" max="16" width="9.875" style="0" customWidth="1"/>
    <col min="17" max="17" width="9.375" style="0" customWidth="1"/>
    <col min="18" max="18" width="11.00390625" style="0" customWidth="1"/>
    <col min="19" max="19" width="6.375" style="0" customWidth="1"/>
    <col min="21" max="21" width="12.875" style="0" customWidth="1"/>
    <col min="22" max="22" width="29.00390625" style="0" customWidth="1"/>
    <col min="23" max="23" width="13.25390625" style="0" customWidth="1"/>
    <col min="24" max="24" width="12.625" style="0" customWidth="1"/>
    <col min="25" max="25" width="11.375" style="0" customWidth="1"/>
    <col min="26" max="26" width="12.75390625" style="0" customWidth="1"/>
    <col min="27" max="27" width="14.25390625" style="0" customWidth="1"/>
    <col min="28" max="28" width="6.625" style="0" customWidth="1"/>
    <col min="31" max="31" width="34.875" style="0" customWidth="1"/>
    <col min="32" max="36" width="12.25390625" style="0" customWidth="1"/>
    <col min="37" max="37" width="6.75390625" style="0" customWidth="1"/>
    <col min="40" max="40" width="32.625" style="0" customWidth="1"/>
    <col min="41" max="45" width="12.25390625" style="0" customWidth="1"/>
    <col min="51" max="51" width="27.125" style="0" customWidth="1"/>
    <col min="52" max="52" width="15.00390625" style="0" customWidth="1"/>
    <col min="53" max="53" width="14.375" style="0" customWidth="1"/>
    <col min="54" max="54" width="17.25390625" style="0" customWidth="1"/>
  </cols>
  <sheetData>
    <row r="1" spans="1:54" ht="12.7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60"/>
      <c r="T1" s="160"/>
      <c r="U1" s="160"/>
      <c r="V1" s="160"/>
      <c r="W1" s="160"/>
      <c r="X1" s="160"/>
      <c r="Y1" s="160"/>
      <c r="Z1" s="160"/>
      <c r="AA1" s="16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60"/>
      <c r="AU1" s="120"/>
      <c r="AV1" s="120"/>
      <c r="AW1" s="120"/>
      <c r="AX1" s="120"/>
      <c r="AY1" s="120"/>
      <c r="AZ1" s="120"/>
      <c r="BA1" s="120"/>
      <c r="BB1" s="120"/>
    </row>
    <row r="2" spans="1:54" ht="12.75">
      <c r="A2" s="120"/>
      <c r="B2" s="120"/>
      <c r="C2" s="120"/>
      <c r="D2" s="120" t="s">
        <v>192</v>
      </c>
      <c r="E2" s="120"/>
      <c r="F2" s="120"/>
      <c r="G2" s="120"/>
      <c r="H2" s="120"/>
      <c r="I2" s="120"/>
      <c r="J2" s="120"/>
      <c r="K2" s="120"/>
      <c r="L2" s="120"/>
      <c r="M2" s="120" t="s">
        <v>288</v>
      </c>
      <c r="N2" s="120"/>
      <c r="O2" s="120"/>
      <c r="P2" s="120"/>
      <c r="Q2" s="120"/>
      <c r="R2" s="120"/>
      <c r="S2" s="160"/>
      <c r="T2" s="160"/>
      <c r="U2" s="160"/>
      <c r="V2" s="160"/>
      <c r="W2" s="160"/>
      <c r="X2" s="160"/>
      <c r="Y2" s="160"/>
      <c r="Z2" s="160"/>
      <c r="AA2" s="160"/>
      <c r="AB2" s="120" t="s">
        <v>325</v>
      </c>
      <c r="AC2" s="120"/>
      <c r="AD2" s="120"/>
      <c r="AE2" s="120"/>
      <c r="AF2" s="120"/>
      <c r="AG2" s="120"/>
      <c r="AH2" s="120"/>
      <c r="AI2" s="120"/>
      <c r="AJ2" s="120"/>
      <c r="AK2" s="120" t="s">
        <v>325</v>
      </c>
      <c r="AL2" s="120"/>
      <c r="AM2" s="120"/>
      <c r="AN2" s="120"/>
      <c r="AO2" s="120"/>
      <c r="AP2" s="120"/>
      <c r="AQ2" s="120"/>
      <c r="AR2" s="120"/>
      <c r="AS2" s="120"/>
      <c r="AT2" s="160" t="s">
        <v>530</v>
      </c>
      <c r="AU2" s="120"/>
      <c r="AV2" s="120"/>
      <c r="AW2" s="120"/>
      <c r="AX2" s="120"/>
      <c r="AY2" s="120"/>
      <c r="AZ2" s="120"/>
      <c r="BA2" s="120"/>
      <c r="BB2" s="120"/>
    </row>
    <row r="3" spans="1:54" ht="12.75">
      <c r="A3" s="120"/>
      <c r="B3" s="120"/>
      <c r="C3" s="120"/>
      <c r="D3" s="120" t="s">
        <v>193</v>
      </c>
      <c r="E3" s="120"/>
      <c r="F3" s="120"/>
      <c r="G3" s="120"/>
      <c r="H3" s="120"/>
      <c r="I3" s="120"/>
      <c r="J3" s="120"/>
      <c r="K3" s="120"/>
      <c r="L3" s="120"/>
      <c r="M3" s="120" t="s">
        <v>289</v>
      </c>
      <c r="N3" s="120"/>
      <c r="O3" s="120"/>
      <c r="P3" s="120"/>
      <c r="Q3" s="120"/>
      <c r="R3" s="120"/>
      <c r="S3" s="120" t="s">
        <v>325</v>
      </c>
      <c r="T3" s="120"/>
      <c r="U3" s="120"/>
      <c r="V3" s="120"/>
      <c r="W3" s="120"/>
      <c r="X3" s="120"/>
      <c r="Y3" s="120"/>
      <c r="Z3" s="120"/>
      <c r="AA3" s="120"/>
      <c r="AB3" s="120" t="s">
        <v>324</v>
      </c>
      <c r="AC3" s="120"/>
      <c r="AD3" s="120"/>
      <c r="AE3" s="120"/>
      <c r="AF3" s="120"/>
      <c r="AG3" s="120"/>
      <c r="AH3" s="120"/>
      <c r="AI3" s="120"/>
      <c r="AJ3" s="120"/>
      <c r="AK3" s="120" t="s">
        <v>324</v>
      </c>
      <c r="AL3" s="120"/>
      <c r="AM3" s="120"/>
      <c r="AN3" s="120"/>
      <c r="AO3" s="120"/>
      <c r="AP3" s="120"/>
      <c r="AQ3" s="120"/>
      <c r="AR3" s="120"/>
      <c r="AS3" s="120"/>
      <c r="AT3" s="160" t="s">
        <v>532</v>
      </c>
      <c r="AU3" s="120"/>
      <c r="AV3" s="120"/>
      <c r="AW3" s="120"/>
      <c r="AX3" s="120"/>
      <c r="AY3" s="120"/>
      <c r="AZ3" s="120"/>
      <c r="BA3" s="120"/>
      <c r="BB3" s="120"/>
    </row>
    <row r="4" spans="1:54" ht="13.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 t="s">
        <v>324</v>
      </c>
      <c r="T4" s="120"/>
      <c r="U4" s="120"/>
      <c r="V4" s="120"/>
      <c r="W4" s="120"/>
      <c r="X4" s="120"/>
      <c r="Y4" s="120"/>
      <c r="Z4" s="120"/>
      <c r="AA4" s="120"/>
      <c r="AB4" s="120" t="s">
        <v>326</v>
      </c>
      <c r="AC4" s="120"/>
      <c r="AD4" s="120"/>
      <c r="AE4" s="120"/>
      <c r="AF4" s="120"/>
      <c r="AG4" s="120"/>
      <c r="AH4" s="120"/>
      <c r="AI4" s="120"/>
      <c r="AJ4" s="120"/>
      <c r="AK4" s="120" t="s">
        <v>326</v>
      </c>
      <c r="AL4" s="120"/>
      <c r="AM4" s="120"/>
      <c r="AN4" s="120"/>
      <c r="AO4" s="120"/>
      <c r="AP4" s="120"/>
      <c r="AQ4" s="120"/>
      <c r="AR4" s="120"/>
      <c r="AS4" s="120"/>
      <c r="AT4" s="160"/>
      <c r="AU4" s="120" t="s">
        <v>400</v>
      </c>
      <c r="AV4" s="120"/>
      <c r="AW4" s="120"/>
      <c r="AX4" s="120"/>
      <c r="AY4" s="254" t="s">
        <v>480</v>
      </c>
      <c r="AZ4" s="254" t="s">
        <v>555</v>
      </c>
      <c r="BA4" s="120"/>
      <c r="BB4" s="120"/>
    </row>
    <row r="5" spans="1:54" ht="12.75">
      <c r="A5" s="120"/>
      <c r="B5" s="120"/>
      <c r="C5" s="120" t="s">
        <v>194</v>
      </c>
      <c r="D5" s="120"/>
      <c r="E5" s="120"/>
      <c r="F5" s="120"/>
      <c r="G5" s="120"/>
      <c r="H5" s="120"/>
      <c r="I5" s="120"/>
      <c r="J5" s="120"/>
      <c r="K5" s="120"/>
      <c r="L5" s="120" t="s">
        <v>194</v>
      </c>
      <c r="M5" s="120"/>
      <c r="N5" s="120"/>
      <c r="O5" s="120"/>
      <c r="P5" s="120"/>
      <c r="Q5" s="120"/>
      <c r="R5" s="120"/>
      <c r="S5" s="120" t="s">
        <v>326</v>
      </c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45"/>
      <c r="AU5" s="146" t="s">
        <v>405</v>
      </c>
      <c r="AV5" s="146"/>
      <c r="AW5" s="146"/>
      <c r="AX5" s="146"/>
      <c r="AY5" s="146"/>
      <c r="AZ5" s="145" t="s">
        <v>406</v>
      </c>
      <c r="BA5" s="145" t="s">
        <v>407</v>
      </c>
      <c r="BB5" s="143" t="s">
        <v>364</v>
      </c>
    </row>
    <row r="6" spans="1:54" ht="12.75">
      <c r="A6" s="120"/>
      <c r="B6" s="120"/>
      <c r="C6" s="120"/>
      <c r="D6" s="277" t="s">
        <v>614</v>
      </c>
      <c r="E6" s="277"/>
      <c r="F6" s="120"/>
      <c r="G6" s="120"/>
      <c r="H6" s="120"/>
      <c r="I6" s="120"/>
      <c r="J6" s="120"/>
      <c r="K6" s="120"/>
      <c r="L6" s="120"/>
      <c r="M6" s="277" t="s">
        <v>614</v>
      </c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59"/>
      <c r="AU6" s="160"/>
      <c r="AV6" s="160"/>
      <c r="AW6" s="160"/>
      <c r="AX6" s="160"/>
      <c r="AY6" s="160"/>
      <c r="AZ6" s="159" t="s">
        <v>413</v>
      </c>
      <c r="BA6" s="159" t="s">
        <v>177</v>
      </c>
      <c r="BB6" s="173" t="s">
        <v>80</v>
      </c>
    </row>
    <row r="7" spans="1:54" ht="12.75">
      <c r="A7" s="120" t="s">
        <v>528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59"/>
      <c r="AU7" s="160"/>
      <c r="AV7" s="160"/>
      <c r="AW7" s="160"/>
      <c r="AX7" s="160"/>
      <c r="AY7" s="160"/>
      <c r="AZ7" s="103" t="s">
        <v>178</v>
      </c>
      <c r="BA7" s="103"/>
      <c r="BB7" s="144" t="s">
        <v>81</v>
      </c>
    </row>
    <row r="8" spans="1:54" ht="12.75">
      <c r="A8" s="120" t="s">
        <v>196</v>
      </c>
      <c r="B8" s="120"/>
      <c r="C8" s="120"/>
      <c r="D8" s="120"/>
      <c r="E8" s="120"/>
      <c r="F8" s="120"/>
      <c r="G8" s="120"/>
      <c r="H8" s="120"/>
      <c r="I8" s="120"/>
      <c r="J8" s="120" t="s">
        <v>528</v>
      </c>
      <c r="K8" s="120"/>
      <c r="L8" s="120"/>
      <c r="M8" s="120"/>
      <c r="N8" s="120"/>
      <c r="O8" s="120"/>
      <c r="P8" s="120"/>
      <c r="Q8" s="120"/>
      <c r="R8" s="120"/>
      <c r="S8" s="120" t="s">
        <v>357</v>
      </c>
      <c r="T8" s="120"/>
      <c r="U8" s="120"/>
      <c r="V8" s="120"/>
      <c r="W8" s="120"/>
      <c r="X8" s="120"/>
      <c r="Y8" s="120"/>
      <c r="Z8" s="120"/>
      <c r="AA8" s="120"/>
      <c r="AB8" s="120" t="s">
        <v>357</v>
      </c>
      <c r="AC8" s="120"/>
      <c r="AD8" s="120"/>
      <c r="AE8" s="120"/>
      <c r="AF8" s="120"/>
      <c r="AG8" s="120"/>
      <c r="AH8" s="120"/>
      <c r="AI8" s="120"/>
      <c r="AJ8" s="120"/>
      <c r="AK8" s="120" t="s">
        <v>357</v>
      </c>
      <c r="AL8" s="120"/>
      <c r="AM8" s="120"/>
      <c r="AN8" s="120"/>
      <c r="AO8" s="120"/>
      <c r="AP8" s="120"/>
      <c r="AQ8" s="120"/>
      <c r="AR8" s="120"/>
      <c r="AS8" s="120"/>
      <c r="AT8" s="145" t="s">
        <v>45</v>
      </c>
      <c r="AU8" s="146"/>
      <c r="AV8" s="146"/>
      <c r="AW8" s="146"/>
      <c r="AX8" s="146"/>
      <c r="AY8" s="147"/>
      <c r="AZ8" s="187">
        <f>I16+I17+I20+I22+I77</f>
        <v>14282526.799999991</v>
      </c>
      <c r="BA8" s="278"/>
      <c r="BB8" s="279">
        <f>BB9+BB14</f>
        <v>20322368.472710002</v>
      </c>
    </row>
    <row r="9" spans="1:54" ht="12.75">
      <c r="A9" s="120" t="s">
        <v>198</v>
      </c>
      <c r="B9" s="120"/>
      <c r="C9" s="120"/>
      <c r="D9" s="120"/>
      <c r="E9" s="120"/>
      <c r="F9" s="120" t="s">
        <v>197</v>
      </c>
      <c r="G9" s="120"/>
      <c r="H9" s="120"/>
      <c r="I9" s="120"/>
      <c r="J9" s="120" t="s">
        <v>196</v>
      </c>
      <c r="K9" s="120"/>
      <c r="L9" s="120"/>
      <c r="M9" s="120"/>
      <c r="N9" s="120"/>
      <c r="O9" s="120" t="s">
        <v>197</v>
      </c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255" t="s">
        <v>383</v>
      </c>
      <c r="AU9" s="256"/>
      <c r="AV9" s="256"/>
      <c r="AW9" s="256"/>
      <c r="AX9" s="146"/>
      <c r="AY9" s="147"/>
      <c r="AZ9" s="280">
        <f>AZ11+AZ12</f>
        <v>5576715</v>
      </c>
      <c r="BA9" s="281">
        <f>(BB12+BB11)/AZ9</f>
        <v>3.6439479019315137</v>
      </c>
      <c r="BB9" s="279">
        <f>BB10+BB11+BB12+BB13</f>
        <v>20321258.92392</v>
      </c>
    </row>
    <row r="10" spans="1:54" ht="12.75">
      <c r="A10" s="143" t="s">
        <v>335</v>
      </c>
      <c r="B10" s="171" t="s">
        <v>199</v>
      </c>
      <c r="C10" s="143" t="s">
        <v>200</v>
      </c>
      <c r="D10" s="224" t="s">
        <v>286</v>
      </c>
      <c r="E10" s="225"/>
      <c r="F10" s="143" t="s">
        <v>201</v>
      </c>
      <c r="G10" s="143" t="s">
        <v>404</v>
      </c>
      <c r="H10" s="143" t="s">
        <v>202</v>
      </c>
      <c r="I10" s="143" t="s">
        <v>191</v>
      </c>
      <c r="J10" s="120" t="s">
        <v>198</v>
      </c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277" t="s">
        <v>615</v>
      </c>
      <c r="Z10" s="120"/>
      <c r="AA10" s="120"/>
      <c r="AB10" s="120"/>
      <c r="AC10" s="120"/>
      <c r="AD10" s="120"/>
      <c r="AE10" s="120"/>
      <c r="AF10" s="120"/>
      <c r="AG10" s="120"/>
      <c r="AH10" s="277" t="s">
        <v>615</v>
      </c>
      <c r="AI10" s="120"/>
      <c r="AJ10" s="120"/>
      <c r="AK10" s="120"/>
      <c r="AL10" s="120"/>
      <c r="AM10" s="120"/>
      <c r="AN10" s="120"/>
      <c r="AO10" s="120"/>
      <c r="AP10" s="120"/>
      <c r="AQ10" s="277" t="s">
        <v>615</v>
      </c>
      <c r="AR10" s="120"/>
      <c r="AS10" s="120"/>
      <c r="AT10" s="145" t="s">
        <v>179</v>
      </c>
      <c r="AU10" s="146"/>
      <c r="AV10" s="146"/>
      <c r="AW10" s="146"/>
      <c r="AX10" s="146"/>
      <c r="AY10" s="147"/>
      <c r="AZ10" s="282"/>
      <c r="BA10" s="283">
        <v>0</v>
      </c>
      <c r="BB10" s="284">
        <f>AZ10*BA10</f>
        <v>0</v>
      </c>
    </row>
    <row r="11" spans="1:54" ht="12.75">
      <c r="A11" s="173"/>
      <c r="B11" s="173"/>
      <c r="C11" s="173"/>
      <c r="D11" s="143" t="s">
        <v>203</v>
      </c>
      <c r="E11" s="145" t="s">
        <v>204</v>
      </c>
      <c r="F11" s="173" t="s">
        <v>205</v>
      </c>
      <c r="G11" s="173" t="s">
        <v>190</v>
      </c>
      <c r="H11" s="173"/>
      <c r="I11" s="173" t="s">
        <v>206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45" t="s">
        <v>180</v>
      </c>
      <c r="AU11" s="146"/>
      <c r="AV11" s="146"/>
      <c r="AW11" s="146"/>
      <c r="AX11" s="146"/>
      <c r="AY11" s="147"/>
      <c r="AZ11" s="155">
        <f>I81+I73</f>
        <v>8596</v>
      </c>
      <c r="BA11" s="285">
        <v>5.3721</v>
      </c>
      <c r="BB11" s="284">
        <f>AZ11*BA11</f>
        <v>46178.571599999996</v>
      </c>
    </row>
    <row r="12" spans="1:54" ht="12.75">
      <c r="A12" s="144"/>
      <c r="B12" s="144"/>
      <c r="C12" s="144"/>
      <c r="D12" s="144" t="s">
        <v>207</v>
      </c>
      <c r="E12" s="103" t="s">
        <v>207</v>
      </c>
      <c r="F12" s="144" t="s">
        <v>208</v>
      </c>
      <c r="G12" s="144"/>
      <c r="H12" s="144"/>
      <c r="I12" s="144"/>
      <c r="J12" s="143" t="s">
        <v>335</v>
      </c>
      <c r="K12" s="171" t="s">
        <v>199</v>
      </c>
      <c r="L12" s="143" t="s">
        <v>200</v>
      </c>
      <c r="M12" s="224" t="s">
        <v>464</v>
      </c>
      <c r="N12" s="225"/>
      <c r="O12" s="143" t="s">
        <v>201</v>
      </c>
      <c r="P12" s="143" t="s">
        <v>404</v>
      </c>
      <c r="Q12" s="143" t="s">
        <v>202</v>
      </c>
      <c r="R12" s="143" t="s">
        <v>191</v>
      </c>
      <c r="S12" s="143" t="s">
        <v>335</v>
      </c>
      <c r="T12" s="145" t="s">
        <v>336</v>
      </c>
      <c r="U12" s="146"/>
      <c r="V12" s="147"/>
      <c r="W12" s="102" t="s">
        <v>337</v>
      </c>
      <c r="X12" s="150"/>
      <c r="Y12" s="150"/>
      <c r="Z12" s="150"/>
      <c r="AA12" s="151"/>
      <c r="AB12" s="143" t="s">
        <v>335</v>
      </c>
      <c r="AC12" s="145" t="s">
        <v>336</v>
      </c>
      <c r="AD12" s="146"/>
      <c r="AE12" s="147"/>
      <c r="AF12" s="102" t="s">
        <v>337</v>
      </c>
      <c r="AG12" s="150"/>
      <c r="AH12" s="150"/>
      <c r="AI12" s="150"/>
      <c r="AJ12" s="151"/>
      <c r="AK12" s="143" t="s">
        <v>335</v>
      </c>
      <c r="AL12" s="145" t="s">
        <v>336</v>
      </c>
      <c r="AM12" s="146"/>
      <c r="AN12" s="147"/>
      <c r="AO12" s="102" t="s">
        <v>337</v>
      </c>
      <c r="AP12" s="150"/>
      <c r="AQ12" s="150"/>
      <c r="AR12" s="150"/>
      <c r="AS12" s="151"/>
      <c r="AT12" s="145" t="s">
        <v>181</v>
      </c>
      <c r="AU12" s="146"/>
      <c r="AV12" s="146"/>
      <c r="AW12" s="146"/>
      <c r="AX12" s="146"/>
      <c r="AY12" s="147"/>
      <c r="AZ12" s="280">
        <f>I75</f>
        <v>5568119</v>
      </c>
      <c r="BA12" s="286">
        <v>3.64128</v>
      </c>
      <c r="BB12" s="284">
        <f>AZ12*BA12</f>
        <v>20275080.35232</v>
      </c>
    </row>
    <row r="13" spans="1:54" ht="12.75">
      <c r="A13" s="152">
        <v>1</v>
      </c>
      <c r="B13" s="152">
        <v>2</v>
      </c>
      <c r="C13" s="152">
        <v>3</v>
      </c>
      <c r="D13" s="152">
        <v>4</v>
      </c>
      <c r="E13" s="152">
        <v>5</v>
      </c>
      <c r="F13" s="152">
        <v>6</v>
      </c>
      <c r="G13" s="152">
        <v>7</v>
      </c>
      <c r="H13" s="152">
        <v>8</v>
      </c>
      <c r="I13" s="152">
        <v>9</v>
      </c>
      <c r="J13" s="173"/>
      <c r="K13" s="173"/>
      <c r="L13" s="173"/>
      <c r="M13" s="143" t="s">
        <v>203</v>
      </c>
      <c r="N13" s="145" t="s">
        <v>204</v>
      </c>
      <c r="O13" s="173" t="s">
        <v>205</v>
      </c>
      <c r="P13" s="173" t="s">
        <v>190</v>
      </c>
      <c r="Q13" s="173"/>
      <c r="R13" s="173" t="s">
        <v>206</v>
      </c>
      <c r="S13" s="144"/>
      <c r="T13" s="103"/>
      <c r="U13" s="148"/>
      <c r="V13" s="149"/>
      <c r="W13" s="152" t="s">
        <v>338</v>
      </c>
      <c r="X13" s="152" t="s">
        <v>339</v>
      </c>
      <c r="Y13" s="152" t="s">
        <v>340</v>
      </c>
      <c r="Z13" s="152" t="s">
        <v>341</v>
      </c>
      <c r="AA13" s="152" t="s">
        <v>342</v>
      </c>
      <c r="AB13" s="144"/>
      <c r="AC13" s="103"/>
      <c r="AD13" s="148"/>
      <c r="AE13" s="149"/>
      <c r="AF13" s="152" t="s">
        <v>338</v>
      </c>
      <c r="AG13" s="152" t="s">
        <v>339</v>
      </c>
      <c r="AH13" s="152" t="s">
        <v>340</v>
      </c>
      <c r="AI13" s="152" t="s">
        <v>341</v>
      </c>
      <c r="AJ13" s="152" t="s">
        <v>342</v>
      </c>
      <c r="AK13" s="144"/>
      <c r="AL13" s="103"/>
      <c r="AM13" s="148"/>
      <c r="AN13" s="149"/>
      <c r="AO13" s="152" t="s">
        <v>338</v>
      </c>
      <c r="AP13" s="152" t="s">
        <v>339</v>
      </c>
      <c r="AQ13" s="152" t="s">
        <v>340</v>
      </c>
      <c r="AR13" s="152" t="s">
        <v>341</v>
      </c>
      <c r="AS13" s="152" t="s">
        <v>342</v>
      </c>
      <c r="AT13" s="102" t="s">
        <v>173</v>
      </c>
      <c r="AU13" s="150"/>
      <c r="AV13" s="150"/>
      <c r="AW13" s="150"/>
      <c r="AX13" s="150"/>
      <c r="AY13" s="151"/>
      <c r="AZ13" s="280"/>
      <c r="BA13" s="257"/>
      <c r="BB13" s="284">
        <f>BA13*AZ13</f>
        <v>0</v>
      </c>
    </row>
    <row r="14" spans="1:54" ht="12.75">
      <c r="A14" s="103"/>
      <c r="B14" s="148"/>
      <c r="C14" s="320" t="s">
        <v>209</v>
      </c>
      <c r="D14" s="320"/>
      <c r="E14" s="148"/>
      <c r="F14" s="148"/>
      <c r="G14" s="148"/>
      <c r="H14" s="148"/>
      <c r="I14" s="149"/>
      <c r="J14" s="144"/>
      <c r="K14" s="144"/>
      <c r="L14" s="144"/>
      <c r="M14" s="144" t="s">
        <v>207</v>
      </c>
      <c r="N14" s="103" t="s">
        <v>207</v>
      </c>
      <c r="O14" s="144" t="s">
        <v>208</v>
      </c>
      <c r="P14" s="144"/>
      <c r="Q14" s="144"/>
      <c r="R14" s="144"/>
      <c r="S14" s="152">
        <v>1</v>
      </c>
      <c r="T14" s="96" t="s">
        <v>159</v>
      </c>
      <c r="U14" s="96"/>
      <c r="V14" s="96"/>
      <c r="W14" s="155">
        <f aca="true" t="shared" si="0" ref="W14:W25">SUM(X14:AA14)</f>
        <v>8427046</v>
      </c>
      <c r="X14" s="155">
        <f>SUM(X15:X26)</f>
        <v>7195182</v>
      </c>
      <c r="Y14" s="155">
        <f>SUM(Y15:Y27)</f>
        <v>0</v>
      </c>
      <c r="Z14" s="155">
        <f>SUM(Z15:Z26)</f>
        <v>1231864</v>
      </c>
      <c r="AA14" s="152">
        <f>SUM(AA15:AA27)</f>
        <v>0</v>
      </c>
      <c r="AB14" s="152"/>
      <c r="AC14" s="96" t="s">
        <v>136</v>
      </c>
      <c r="AD14" s="96"/>
      <c r="AE14" s="96"/>
      <c r="AF14" s="163">
        <f>SUM(AG14:AJ14)</f>
        <v>189805</v>
      </c>
      <c r="AG14" s="155">
        <f>SUM(AG16:AG22)</f>
        <v>179834</v>
      </c>
      <c r="AH14" s="155">
        <f>SUM(AH16:AH22)</f>
        <v>0</v>
      </c>
      <c r="AI14" s="155">
        <f>SUM(AI16:AI22)</f>
        <v>9971</v>
      </c>
      <c r="AJ14" s="152">
        <f>SUM(AJ16:AJ22)</f>
        <v>0</v>
      </c>
      <c r="AK14" s="171">
        <v>1</v>
      </c>
      <c r="AL14" s="143" t="s">
        <v>136</v>
      </c>
      <c r="AM14" s="143"/>
      <c r="AN14" s="143"/>
      <c r="AO14" s="175">
        <f>SUM(AP14:AS14)</f>
        <v>89086</v>
      </c>
      <c r="AP14" s="175">
        <f>SUM(AP16:AP17)</f>
        <v>0</v>
      </c>
      <c r="AQ14" s="175">
        <f>SUM(AQ16:AQ17)</f>
        <v>0</v>
      </c>
      <c r="AR14" s="175">
        <f>ROUND(SUM(AR16:AR20),0)</f>
        <v>89086</v>
      </c>
      <c r="AS14" s="171">
        <f>SUM(AS16:AS17)</f>
        <v>0</v>
      </c>
      <c r="AT14" s="144" t="s">
        <v>423</v>
      </c>
      <c r="AU14" s="144"/>
      <c r="AV14" s="144"/>
      <c r="AW14" s="144"/>
      <c r="AX14" s="144"/>
      <c r="AY14" s="144"/>
      <c r="AZ14" s="280">
        <f>SUM(AZ15:AZ21)</f>
        <v>309</v>
      </c>
      <c r="BA14" s="287"/>
      <c r="BB14" s="284">
        <f>SUM(BB15:BB21)</f>
        <v>1109.54879</v>
      </c>
    </row>
    <row r="15" spans="1:54" ht="12.75">
      <c r="A15" s="103"/>
      <c r="B15" s="102" t="s">
        <v>520</v>
      </c>
      <c r="C15" s="320"/>
      <c r="D15" s="320"/>
      <c r="E15" s="148"/>
      <c r="F15" s="148"/>
      <c r="G15" s="148"/>
      <c r="H15" s="148"/>
      <c r="I15" s="149"/>
      <c r="J15" s="152">
        <v>1</v>
      </c>
      <c r="K15" s="152">
        <v>2</v>
      </c>
      <c r="L15" s="152">
        <v>3</v>
      </c>
      <c r="M15" s="152">
        <v>4</v>
      </c>
      <c r="N15" s="152">
        <v>5</v>
      </c>
      <c r="O15" s="152">
        <v>6</v>
      </c>
      <c r="P15" s="152">
        <v>7</v>
      </c>
      <c r="Q15" s="152">
        <v>8</v>
      </c>
      <c r="R15" s="152">
        <v>9</v>
      </c>
      <c r="S15" s="170" t="s">
        <v>145</v>
      </c>
      <c r="T15" s="145" t="s">
        <v>121</v>
      </c>
      <c r="U15" s="146"/>
      <c r="V15" s="146"/>
      <c r="W15" s="163">
        <f t="shared" si="0"/>
        <v>4687425</v>
      </c>
      <c r="X15" s="193">
        <f>ROUND(I20,0)</f>
        <v>4687425</v>
      </c>
      <c r="Y15" s="171">
        <v>0</v>
      </c>
      <c r="Z15" s="171">
        <v>0</v>
      </c>
      <c r="AA15" s="171">
        <v>0</v>
      </c>
      <c r="AB15" s="171">
        <v>1</v>
      </c>
      <c r="AC15" s="145" t="s">
        <v>543</v>
      </c>
      <c r="AD15" s="146"/>
      <c r="AE15" s="147"/>
      <c r="AF15" s="162"/>
      <c r="AG15" s="165"/>
      <c r="AH15" s="165"/>
      <c r="AI15" s="165"/>
      <c r="AJ15" s="303"/>
      <c r="AK15" s="319"/>
      <c r="AL15" s="145" t="s">
        <v>545</v>
      </c>
      <c r="AM15" s="146"/>
      <c r="AN15" s="147"/>
      <c r="AO15" s="175"/>
      <c r="AP15" s="171"/>
      <c r="AQ15" s="171"/>
      <c r="AR15" s="175"/>
      <c r="AS15" s="171"/>
      <c r="AT15" s="147" t="s">
        <v>174</v>
      </c>
      <c r="AU15" s="143"/>
      <c r="AV15" s="143"/>
      <c r="AW15" s="143"/>
      <c r="AX15" s="143"/>
      <c r="AY15" s="143"/>
      <c r="AZ15" s="155">
        <f>AS57-AZ16</f>
        <v>0</v>
      </c>
      <c r="BA15" s="288"/>
      <c r="BB15" s="284">
        <f>AZ15*BA15</f>
        <v>0</v>
      </c>
    </row>
    <row r="16" spans="1:54" ht="12.75">
      <c r="A16" s="171">
        <v>1</v>
      </c>
      <c r="B16" s="143" t="s">
        <v>249</v>
      </c>
      <c r="C16" s="197">
        <v>804152757</v>
      </c>
      <c r="D16" s="230">
        <v>4854.7227</v>
      </c>
      <c r="E16" s="230">
        <v>4966.4131</v>
      </c>
      <c r="F16" s="155">
        <v>36000</v>
      </c>
      <c r="G16" s="252">
        <f>E16-D16</f>
        <v>111.6903999999995</v>
      </c>
      <c r="H16" s="96"/>
      <c r="I16" s="155">
        <f>ROUND((F16*G16+H16),0)</f>
        <v>4020854</v>
      </c>
      <c r="J16" s="103"/>
      <c r="K16" s="148"/>
      <c r="L16" s="148" t="s">
        <v>209</v>
      </c>
      <c r="M16" s="148"/>
      <c r="N16" s="148"/>
      <c r="O16" s="148"/>
      <c r="P16" s="148"/>
      <c r="Q16" s="148"/>
      <c r="R16" s="149"/>
      <c r="S16" s="157" t="s">
        <v>146</v>
      </c>
      <c r="T16" s="159" t="s">
        <v>122</v>
      </c>
      <c r="U16" s="160"/>
      <c r="V16" s="160"/>
      <c r="W16" s="163">
        <f t="shared" si="0"/>
        <v>0</v>
      </c>
      <c r="X16" s="186">
        <f>ROUND(I27,0)</f>
        <v>0</v>
      </c>
      <c r="Y16" s="168">
        <v>0</v>
      </c>
      <c r="Z16" s="163">
        <v>0</v>
      </c>
      <c r="AA16" s="168">
        <v>0</v>
      </c>
      <c r="AB16" s="157" t="s">
        <v>145</v>
      </c>
      <c r="AC16" s="159" t="s">
        <v>343</v>
      </c>
      <c r="AD16" s="160"/>
      <c r="AE16" s="161"/>
      <c r="AF16" s="163">
        <f>AG16+AH16+AI16+AJ16</f>
        <v>179834</v>
      </c>
      <c r="AG16" s="163">
        <v>179834</v>
      </c>
      <c r="AH16" s="168">
        <v>0</v>
      </c>
      <c r="AI16" s="163">
        <v>0</v>
      </c>
      <c r="AJ16" s="192">
        <v>0</v>
      </c>
      <c r="AK16" s="157" t="s">
        <v>145</v>
      </c>
      <c r="AL16" s="159" t="s">
        <v>84</v>
      </c>
      <c r="AM16" s="160"/>
      <c r="AN16" s="161"/>
      <c r="AO16" s="163">
        <f>AP16+AQ16+AR16+AS16</f>
        <v>305</v>
      </c>
      <c r="AP16" s="168">
        <v>0</v>
      </c>
      <c r="AQ16" s="168">
        <v>0</v>
      </c>
      <c r="AR16" s="163">
        <v>305</v>
      </c>
      <c r="AS16" s="168">
        <v>0</v>
      </c>
      <c r="AT16" s="147" t="s">
        <v>174</v>
      </c>
      <c r="AU16" s="143"/>
      <c r="AV16" s="143"/>
      <c r="AW16" s="143"/>
      <c r="AX16" s="143"/>
      <c r="AY16" s="143"/>
      <c r="AZ16" s="155">
        <f>AS57/100*80</f>
        <v>0</v>
      </c>
      <c r="BA16" s="289"/>
      <c r="BB16" s="284">
        <f>AZ16*BA16</f>
        <v>0</v>
      </c>
    </row>
    <row r="17" spans="1:54" ht="12.75">
      <c r="A17" s="144"/>
      <c r="B17" s="103" t="s">
        <v>250</v>
      </c>
      <c r="C17" s="213">
        <v>109054169</v>
      </c>
      <c r="D17" s="230">
        <v>7443.4415</v>
      </c>
      <c r="E17" s="230">
        <v>7595.7368</v>
      </c>
      <c r="F17" s="155">
        <v>36000</v>
      </c>
      <c r="G17" s="252">
        <f>E17-D17</f>
        <v>152.29529999999977</v>
      </c>
      <c r="H17" s="96"/>
      <c r="I17" s="155">
        <f>F17*G17+H17</f>
        <v>5482630.799999991</v>
      </c>
      <c r="J17" s="96"/>
      <c r="K17" s="102" t="s">
        <v>210</v>
      </c>
      <c r="L17" s="150"/>
      <c r="M17" s="150"/>
      <c r="N17" s="150"/>
      <c r="O17" s="150"/>
      <c r="P17" s="150"/>
      <c r="Q17" s="150"/>
      <c r="R17" s="151"/>
      <c r="S17" s="157" t="s">
        <v>147</v>
      </c>
      <c r="T17" s="159" t="s">
        <v>123</v>
      </c>
      <c r="U17" s="160"/>
      <c r="V17" s="160"/>
      <c r="W17" s="163">
        <f t="shared" si="0"/>
        <v>513840</v>
      </c>
      <c r="X17" s="186">
        <f>ROUND(I29,0)</f>
        <v>513840</v>
      </c>
      <c r="Y17" s="168">
        <v>0</v>
      </c>
      <c r="Z17" s="163">
        <v>0</v>
      </c>
      <c r="AA17" s="168">
        <v>0</v>
      </c>
      <c r="AB17" s="157" t="s">
        <v>146</v>
      </c>
      <c r="AC17" s="159" t="s">
        <v>172</v>
      </c>
      <c r="AD17" s="160"/>
      <c r="AE17" s="161"/>
      <c r="AF17" s="163">
        <f>AG17+AH17+AI17+AJ17</f>
        <v>1809</v>
      </c>
      <c r="AG17" s="168">
        <v>0</v>
      </c>
      <c r="AH17" s="168">
        <v>0</v>
      </c>
      <c r="AI17" s="163">
        <v>1809</v>
      </c>
      <c r="AJ17" s="192">
        <v>0</v>
      </c>
      <c r="AK17" s="157" t="s">
        <v>146</v>
      </c>
      <c r="AL17" s="159" t="s">
        <v>277</v>
      </c>
      <c r="AM17" s="160"/>
      <c r="AN17" s="161"/>
      <c r="AO17" s="163">
        <f>AP17+AQ17+AR17+AS17</f>
        <v>1716</v>
      </c>
      <c r="AP17" s="168">
        <v>0</v>
      </c>
      <c r="AQ17" s="168">
        <v>0</v>
      </c>
      <c r="AR17" s="163">
        <v>1716</v>
      </c>
      <c r="AS17" s="168">
        <v>0</v>
      </c>
      <c r="AT17" s="146" t="s">
        <v>141</v>
      </c>
      <c r="AU17" s="146"/>
      <c r="AV17" s="146"/>
      <c r="AW17" s="146"/>
      <c r="AX17" s="146"/>
      <c r="AY17" s="147"/>
      <c r="AZ17" s="280">
        <f>R21</f>
        <v>160</v>
      </c>
      <c r="BA17" s="290">
        <v>3.41</v>
      </c>
      <c r="BB17" s="284">
        <f>AZ17*BA17</f>
        <v>545.6</v>
      </c>
    </row>
    <row r="18" spans="1:54" ht="12.75">
      <c r="A18" s="102"/>
      <c r="B18" s="150"/>
      <c r="C18" s="148"/>
      <c r="D18" s="150"/>
      <c r="E18" s="150"/>
      <c r="F18" s="214" t="s">
        <v>212</v>
      </c>
      <c r="G18" s="150"/>
      <c r="H18" s="151"/>
      <c r="I18" s="155">
        <f>ROUND((I16+I17+I22),0)</f>
        <v>9586506</v>
      </c>
      <c r="J18" s="152">
        <v>1</v>
      </c>
      <c r="K18" s="102" t="s">
        <v>211</v>
      </c>
      <c r="L18" s="150"/>
      <c r="M18" s="150"/>
      <c r="N18" s="150"/>
      <c r="O18" s="150"/>
      <c r="P18" s="150"/>
      <c r="Q18" s="150"/>
      <c r="R18" s="151"/>
      <c r="S18" s="157" t="s">
        <v>148</v>
      </c>
      <c r="T18" s="159" t="s">
        <v>124</v>
      </c>
      <c r="U18" s="160"/>
      <c r="V18" s="160"/>
      <c r="W18" s="163">
        <f t="shared" si="0"/>
        <v>277148</v>
      </c>
      <c r="X18" s="186">
        <f>ROUND(I31,0)</f>
        <v>277148</v>
      </c>
      <c r="Y18" s="168">
        <v>0</v>
      </c>
      <c r="Z18" s="163">
        <v>0</v>
      </c>
      <c r="AA18" s="168">
        <v>0</v>
      </c>
      <c r="AB18" s="158" t="s">
        <v>147</v>
      </c>
      <c r="AC18" s="148" t="s">
        <v>156</v>
      </c>
      <c r="AD18" s="148"/>
      <c r="AE18" s="148"/>
      <c r="AF18" s="164">
        <f>AG18+AH18+AI18+AJ18</f>
        <v>8162</v>
      </c>
      <c r="AG18" s="169">
        <v>0</v>
      </c>
      <c r="AH18" s="169">
        <v>0</v>
      </c>
      <c r="AI18" s="164">
        <v>8162</v>
      </c>
      <c r="AJ18" s="318">
        <v>0</v>
      </c>
      <c r="AK18" s="157" t="s">
        <v>147</v>
      </c>
      <c r="AL18" s="159" t="s">
        <v>135</v>
      </c>
      <c r="AM18" s="160"/>
      <c r="AN18" s="161"/>
      <c r="AO18" s="163">
        <f>AP18+AQ18+AR18+AS18</f>
        <v>70741</v>
      </c>
      <c r="AP18" s="168">
        <v>0</v>
      </c>
      <c r="AQ18" s="168">
        <v>0</v>
      </c>
      <c r="AR18" s="163">
        <v>70741</v>
      </c>
      <c r="AS18" s="168">
        <v>0</v>
      </c>
      <c r="AT18" s="146" t="s">
        <v>142</v>
      </c>
      <c r="AU18" s="146"/>
      <c r="AV18" s="146"/>
      <c r="AW18" s="146"/>
      <c r="AX18" s="146"/>
      <c r="AY18" s="147"/>
      <c r="AZ18" s="280">
        <f>R22</f>
        <v>80</v>
      </c>
      <c r="BA18" s="290">
        <v>1.62</v>
      </c>
      <c r="BB18" s="284">
        <f>AZ18*BA18</f>
        <v>129.60000000000002</v>
      </c>
    </row>
    <row r="19" spans="1:54" ht="12.75">
      <c r="A19" s="96" t="s">
        <v>213</v>
      </c>
      <c r="B19" s="102" t="s">
        <v>466</v>
      </c>
      <c r="C19" s="150"/>
      <c r="D19" s="150"/>
      <c r="E19" s="150"/>
      <c r="F19" s="150"/>
      <c r="G19" s="150"/>
      <c r="H19" s="150"/>
      <c r="I19" s="151"/>
      <c r="J19" s="171" t="s">
        <v>213</v>
      </c>
      <c r="K19" s="143" t="s">
        <v>290</v>
      </c>
      <c r="L19" s="171">
        <v>16654</v>
      </c>
      <c r="M19" s="234">
        <v>5546</v>
      </c>
      <c r="N19" s="234">
        <v>5615</v>
      </c>
      <c r="O19" s="171">
        <v>1</v>
      </c>
      <c r="P19" s="258">
        <f>N19-M19</f>
        <v>69</v>
      </c>
      <c r="Q19" s="259"/>
      <c r="R19" s="175">
        <f>O19*P19+Q19</f>
        <v>69</v>
      </c>
      <c r="S19" s="157" t="s">
        <v>153</v>
      </c>
      <c r="T19" s="159" t="s">
        <v>125</v>
      </c>
      <c r="U19" s="160"/>
      <c r="V19" s="160"/>
      <c r="W19" s="163">
        <f t="shared" si="0"/>
        <v>0</v>
      </c>
      <c r="X19" s="186">
        <f>ROUND(I33,0)</f>
        <v>0</v>
      </c>
      <c r="Y19" s="168">
        <v>0</v>
      </c>
      <c r="Z19" s="168">
        <v>0</v>
      </c>
      <c r="AA19" s="168">
        <v>0</v>
      </c>
      <c r="AB19" s="179"/>
      <c r="AC19" s="160"/>
      <c r="AD19" s="160"/>
      <c r="AE19" s="160"/>
      <c r="AF19" s="180"/>
      <c r="AG19" s="181"/>
      <c r="AH19" s="181"/>
      <c r="AI19" s="180"/>
      <c r="AJ19" s="181"/>
      <c r="AK19" s="157" t="s">
        <v>148</v>
      </c>
      <c r="AL19" s="159" t="s">
        <v>158</v>
      </c>
      <c r="AM19" s="160"/>
      <c r="AN19" s="161"/>
      <c r="AO19" s="163">
        <f>AP19+AQ19+AR19+AS19</f>
        <v>967</v>
      </c>
      <c r="AP19" s="163">
        <v>0</v>
      </c>
      <c r="AQ19" s="168">
        <v>0</v>
      </c>
      <c r="AR19" s="163">
        <v>967</v>
      </c>
      <c r="AS19" s="168">
        <v>0</v>
      </c>
      <c r="AT19" s="146" t="s">
        <v>182</v>
      </c>
      <c r="AU19" s="146"/>
      <c r="AV19" s="146"/>
      <c r="AW19" s="146"/>
      <c r="AX19" s="146"/>
      <c r="AY19" s="147"/>
      <c r="AZ19" s="291">
        <f>R19+R20</f>
        <v>69</v>
      </c>
      <c r="BA19" s="285">
        <v>6.29491</v>
      </c>
      <c r="BB19" s="284">
        <f>AZ19*BA19</f>
        <v>434.34879</v>
      </c>
    </row>
    <row r="20" spans="1:54" ht="12.75">
      <c r="A20" s="96" t="s">
        <v>215</v>
      </c>
      <c r="B20" s="96" t="s">
        <v>216</v>
      </c>
      <c r="C20" s="213">
        <v>109053225</v>
      </c>
      <c r="D20" s="230">
        <v>19124.6872</v>
      </c>
      <c r="E20" s="230">
        <v>19347.8979</v>
      </c>
      <c r="F20" s="155">
        <v>21000</v>
      </c>
      <c r="G20" s="252">
        <f>E20-D20</f>
        <v>223.21069999999963</v>
      </c>
      <c r="H20" s="96"/>
      <c r="I20" s="155">
        <f>ROUND((F20*G20+H20),0)</f>
        <v>4687425</v>
      </c>
      <c r="J20" s="144"/>
      <c r="K20" s="144" t="s">
        <v>291</v>
      </c>
      <c r="L20" s="144"/>
      <c r="M20" s="144"/>
      <c r="N20" s="144"/>
      <c r="O20" s="144"/>
      <c r="P20" s="185"/>
      <c r="Q20" s="260"/>
      <c r="R20" s="276"/>
      <c r="S20" s="157" t="s">
        <v>157</v>
      </c>
      <c r="T20" s="159" t="s">
        <v>126</v>
      </c>
      <c r="U20" s="160"/>
      <c r="V20" s="160"/>
      <c r="W20" s="163">
        <f t="shared" si="0"/>
        <v>745862</v>
      </c>
      <c r="X20" s="186">
        <f>ROUND(I35,0)</f>
        <v>745862</v>
      </c>
      <c r="Y20" s="168">
        <v>0</v>
      </c>
      <c r="Z20" s="163">
        <v>0</v>
      </c>
      <c r="AA20" s="168">
        <v>0</v>
      </c>
      <c r="AB20" s="179"/>
      <c r="AC20" s="160"/>
      <c r="AD20" s="160"/>
      <c r="AE20" s="160"/>
      <c r="AF20" s="180"/>
      <c r="AG20" s="180"/>
      <c r="AH20" s="181"/>
      <c r="AI20" s="180"/>
      <c r="AJ20" s="181"/>
      <c r="AK20" s="158" t="s">
        <v>153</v>
      </c>
      <c r="AL20" s="103" t="s">
        <v>544</v>
      </c>
      <c r="AM20" s="148"/>
      <c r="AN20" s="149"/>
      <c r="AO20" s="164">
        <f>AP20+AQ20+AR20+AS20</f>
        <v>15357</v>
      </c>
      <c r="AP20" s="164"/>
      <c r="AQ20" s="169"/>
      <c r="AR20" s="164">
        <v>15357</v>
      </c>
      <c r="AS20" s="169"/>
      <c r="AT20" s="146" t="s">
        <v>416</v>
      </c>
      <c r="AU20" s="146"/>
      <c r="AV20" s="146"/>
      <c r="AW20" s="146"/>
      <c r="AX20" s="146"/>
      <c r="AY20" s="147"/>
      <c r="AZ20" s="280"/>
      <c r="BA20" s="290"/>
      <c r="BB20" s="279"/>
    </row>
    <row r="21" spans="1:54" ht="12.75">
      <c r="A21" s="96" t="s">
        <v>521</v>
      </c>
      <c r="B21" s="150" t="s">
        <v>524</v>
      </c>
      <c r="C21" s="148"/>
      <c r="D21" s="150"/>
      <c r="E21" s="150"/>
      <c r="F21" s="214"/>
      <c r="G21" s="150"/>
      <c r="H21" s="151"/>
      <c r="I21" s="155"/>
      <c r="J21" s="143" t="s">
        <v>219</v>
      </c>
      <c r="K21" s="143" t="s">
        <v>293</v>
      </c>
      <c r="L21" s="377">
        <v>122848480</v>
      </c>
      <c r="M21" s="376">
        <v>513</v>
      </c>
      <c r="N21" s="376">
        <v>521</v>
      </c>
      <c r="O21" s="152">
        <v>20</v>
      </c>
      <c r="P21" s="375">
        <f>N21-M21</f>
        <v>8</v>
      </c>
      <c r="Q21" s="261"/>
      <c r="R21" s="155">
        <f>O21*P21+Q21</f>
        <v>160</v>
      </c>
      <c r="S21" s="157" t="s">
        <v>161</v>
      </c>
      <c r="T21" s="159" t="s">
        <v>127</v>
      </c>
      <c r="U21" s="160"/>
      <c r="V21" s="160"/>
      <c r="W21" s="163">
        <f t="shared" si="0"/>
        <v>206370</v>
      </c>
      <c r="X21" s="186">
        <f>ROUND(I37,0)</f>
        <v>206370</v>
      </c>
      <c r="Y21" s="168">
        <v>0</v>
      </c>
      <c r="Z21" s="163">
        <v>0</v>
      </c>
      <c r="AA21" s="168">
        <v>0</v>
      </c>
      <c r="AB21" s="179"/>
      <c r="AC21" s="160"/>
      <c r="AD21" s="160"/>
      <c r="AE21" s="160"/>
      <c r="AF21" s="180"/>
      <c r="AG21" s="180"/>
      <c r="AH21" s="181"/>
      <c r="AI21" s="180"/>
      <c r="AJ21" s="181"/>
      <c r="AK21" s="179"/>
      <c r="AL21" s="160"/>
      <c r="AM21" s="160"/>
      <c r="AN21" s="160"/>
      <c r="AO21" s="180"/>
      <c r="AP21" s="181"/>
      <c r="AQ21" s="182"/>
      <c r="AR21" s="180"/>
      <c r="AS21" s="181"/>
      <c r="AT21" s="102"/>
      <c r="AU21" s="146"/>
      <c r="AV21" s="146"/>
      <c r="AW21" s="146"/>
      <c r="AX21" s="146"/>
      <c r="AY21" s="147"/>
      <c r="AZ21" s="280"/>
      <c r="BA21" s="290"/>
      <c r="BB21" s="279"/>
    </row>
    <row r="22" spans="1:54" ht="12.75">
      <c r="A22" s="96" t="s">
        <v>522</v>
      </c>
      <c r="B22" s="102" t="s">
        <v>525</v>
      </c>
      <c r="C22" s="150"/>
      <c r="D22" s="150"/>
      <c r="E22" s="150"/>
      <c r="F22" s="150"/>
      <c r="G22" s="150"/>
      <c r="H22" s="151"/>
      <c r="I22" s="280">
        <v>83021</v>
      </c>
      <c r="J22" s="144"/>
      <c r="K22" s="144" t="s">
        <v>292</v>
      </c>
      <c r="L22" s="377">
        <v>122848480</v>
      </c>
      <c r="M22" s="376">
        <v>142</v>
      </c>
      <c r="N22" s="376">
        <v>146</v>
      </c>
      <c r="O22" s="152">
        <v>20</v>
      </c>
      <c r="P22" s="375">
        <f>N22-M22</f>
        <v>4</v>
      </c>
      <c r="Q22" s="261"/>
      <c r="R22" s="155">
        <f>O22*P22+Q22</f>
        <v>80</v>
      </c>
      <c r="S22" s="157" t="s">
        <v>162</v>
      </c>
      <c r="T22" s="159" t="s">
        <v>128</v>
      </c>
      <c r="U22" s="160"/>
      <c r="V22" s="160"/>
      <c r="W22" s="163">
        <f t="shared" si="0"/>
        <v>764537</v>
      </c>
      <c r="X22" s="186">
        <f>ROUND(I39,0)</f>
        <v>764537</v>
      </c>
      <c r="Y22" s="168">
        <v>0</v>
      </c>
      <c r="Z22" s="168">
        <v>0</v>
      </c>
      <c r="AA22" s="168">
        <v>0</v>
      </c>
      <c r="AB22" s="179"/>
      <c r="AC22" s="160"/>
      <c r="AD22" s="160"/>
      <c r="AE22" s="160"/>
      <c r="AF22" s="180"/>
      <c r="AG22" s="181"/>
      <c r="AH22" s="181"/>
      <c r="AI22" s="180"/>
      <c r="AJ22" s="181"/>
      <c r="AK22" s="179"/>
      <c r="AL22" s="160"/>
      <c r="AM22" s="160"/>
      <c r="AN22" s="160"/>
      <c r="AO22" s="180"/>
      <c r="AP22" s="181"/>
      <c r="AQ22" s="182"/>
      <c r="AR22" s="180"/>
      <c r="AS22" s="181"/>
      <c r="AT22" s="255" t="s">
        <v>22</v>
      </c>
      <c r="AU22" s="256"/>
      <c r="AV22" s="256"/>
      <c r="AW22" s="256"/>
      <c r="AX22" s="146"/>
      <c r="AY22" s="147"/>
      <c r="AZ22" s="280"/>
      <c r="BA22" s="293"/>
      <c r="BB22" s="294"/>
    </row>
    <row r="23" spans="1:54" ht="12.75">
      <c r="A23" s="102"/>
      <c r="B23" s="102"/>
      <c r="C23" s="371"/>
      <c r="D23" s="372"/>
      <c r="E23" s="372"/>
      <c r="F23" s="373"/>
      <c r="G23" s="374"/>
      <c r="H23" s="151"/>
      <c r="I23" s="280"/>
      <c r="J23" s="102"/>
      <c r="K23" s="245"/>
      <c r="L23" s="245"/>
      <c r="M23" s="245"/>
      <c r="N23" s="245"/>
      <c r="O23" s="245"/>
      <c r="P23" s="246" t="s">
        <v>274</v>
      </c>
      <c r="Q23" s="247"/>
      <c r="R23" s="155">
        <f>R19+R21+R22+R20</f>
        <v>309</v>
      </c>
      <c r="S23" s="157" t="s">
        <v>163</v>
      </c>
      <c r="T23" s="159" t="s">
        <v>129</v>
      </c>
      <c r="U23" s="160"/>
      <c r="V23" s="160"/>
      <c r="W23" s="163">
        <f t="shared" si="0"/>
        <v>948220</v>
      </c>
      <c r="X23" s="186">
        <v>0</v>
      </c>
      <c r="Y23" s="168">
        <v>0</v>
      </c>
      <c r="Z23" s="163">
        <f>I26+I25</f>
        <v>948220</v>
      </c>
      <c r="AA23" s="168">
        <v>0</v>
      </c>
      <c r="AB23" s="179"/>
      <c r="AC23" s="160"/>
      <c r="AD23" s="160"/>
      <c r="AE23" s="160"/>
      <c r="AF23" s="180"/>
      <c r="AG23" s="181"/>
      <c r="AH23" s="182"/>
      <c r="AI23" s="180"/>
      <c r="AJ23" s="181"/>
      <c r="AK23" s="179"/>
      <c r="AL23" s="160"/>
      <c r="AM23" s="160"/>
      <c r="AN23" s="160"/>
      <c r="AO23" s="180"/>
      <c r="AP23" s="181"/>
      <c r="AQ23" s="182"/>
      <c r="AR23" s="180"/>
      <c r="AS23" s="181"/>
      <c r="AT23" s="145" t="s">
        <v>23</v>
      </c>
      <c r="AU23" s="146"/>
      <c r="AV23" s="146"/>
      <c r="AW23" s="146"/>
      <c r="AX23" s="146"/>
      <c r="AY23" s="147"/>
      <c r="AZ23" s="280"/>
      <c r="BA23" s="293"/>
      <c r="BB23" s="279"/>
    </row>
    <row r="24" spans="1:54" ht="12.75">
      <c r="A24" s="96" t="s">
        <v>219</v>
      </c>
      <c r="B24" s="103" t="s">
        <v>220</v>
      </c>
      <c r="C24" s="148"/>
      <c r="D24" s="148"/>
      <c r="E24" s="148"/>
      <c r="F24" s="148"/>
      <c r="G24" s="148"/>
      <c r="H24" s="148"/>
      <c r="I24" s="151"/>
      <c r="J24" s="145"/>
      <c r="K24" s="146"/>
      <c r="L24" s="146"/>
      <c r="M24" s="146"/>
      <c r="N24" s="146"/>
      <c r="O24" s="146"/>
      <c r="P24" s="248"/>
      <c r="Q24" s="249"/>
      <c r="R24" s="250"/>
      <c r="S24" s="157" t="s">
        <v>164</v>
      </c>
      <c r="T24" s="160" t="s">
        <v>130</v>
      </c>
      <c r="U24" s="160"/>
      <c r="V24" s="160"/>
      <c r="W24" s="163">
        <f t="shared" si="0"/>
        <v>39484</v>
      </c>
      <c r="X24" s="186">
        <v>0</v>
      </c>
      <c r="Y24" s="168">
        <v>0</v>
      </c>
      <c r="Z24" s="163">
        <f>I41</f>
        <v>39484</v>
      </c>
      <c r="AA24" s="168">
        <v>0</v>
      </c>
      <c r="AB24" s="153"/>
      <c r="AC24" s="120" t="s">
        <v>189</v>
      </c>
      <c r="AD24" s="120"/>
      <c r="AE24" s="120"/>
      <c r="AF24" s="154"/>
      <c r="AG24" s="154"/>
      <c r="AH24" s="154"/>
      <c r="AI24" s="154"/>
      <c r="AJ24" s="154"/>
      <c r="AK24" s="153"/>
      <c r="AL24" s="120" t="s">
        <v>278</v>
      </c>
      <c r="AM24" s="120"/>
      <c r="AN24" s="120"/>
      <c r="AO24" s="154"/>
      <c r="AP24" s="154"/>
      <c r="AQ24" s="154"/>
      <c r="AR24" s="154"/>
      <c r="AS24" s="154"/>
      <c r="AT24" s="262" t="s">
        <v>139</v>
      </c>
      <c r="AU24" s="245"/>
      <c r="AV24" s="245"/>
      <c r="AW24" s="245"/>
      <c r="AX24" s="245"/>
      <c r="AY24" s="263"/>
      <c r="AZ24" s="295"/>
      <c r="BA24" s="287"/>
      <c r="BB24" s="284"/>
    </row>
    <row r="25" spans="1:54" ht="12.75">
      <c r="A25" s="143" t="s">
        <v>221</v>
      </c>
      <c r="B25" s="143" t="s">
        <v>224</v>
      </c>
      <c r="C25" s="197"/>
      <c r="D25" s="323"/>
      <c r="E25" s="323"/>
      <c r="F25" s="164"/>
      <c r="G25" s="324"/>
      <c r="H25" s="164"/>
      <c r="I25" s="164"/>
      <c r="J25" s="159" t="s">
        <v>275</v>
      </c>
      <c r="K25" s="160"/>
      <c r="L25" s="160"/>
      <c r="M25" s="160"/>
      <c r="N25" s="160"/>
      <c r="O25" s="160"/>
      <c r="P25" s="190"/>
      <c r="Q25" s="238"/>
      <c r="R25" s="251"/>
      <c r="S25" s="157" t="s">
        <v>165</v>
      </c>
      <c r="T25" s="160" t="s">
        <v>131</v>
      </c>
      <c r="U25" s="160"/>
      <c r="V25" s="160"/>
      <c r="W25" s="163">
        <f t="shared" si="0"/>
        <v>206519</v>
      </c>
      <c r="X25" s="186">
        <v>0</v>
      </c>
      <c r="Y25" s="168">
        <v>0</v>
      </c>
      <c r="Z25" s="163">
        <f>I43</f>
        <v>206519</v>
      </c>
      <c r="AA25" s="168">
        <v>0</v>
      </c>
      <c r="AB25" s="153"/>
      <c r="AC25" s="120" t="s">
        <v>533</v>
      </c>
      <c r="AD25" s="120"/>
      <c r="AE25" s="120"/>
      <c r="AF25" s="120"/>
      <c r="AG25" s="120"/>
      <c r="AH25" s="120"/>
      <c r="AI25" s="120"/>
      <c r="AJ25" s="120"/>
      <c r="AK25" s="153"/>
      <c r="AL25" s="120" t="s">
        <v>533</v>
      </c>
      <c r="AM25" s="120"/>
      <c r="AN25" s="120"/>
      <c r="AO25" s="120"/>
      <c r="AP25" s="120"/>
      <c r="AQ25" s="120"/>
      <c r="AR25" s="120"/>
      <c r="AS25" s="120"/>
      <c r="AT25" s="103" t="s">
        <v>183</v>
      </c>
      <c r="AU25" s="148"/>
      <c r="AV25" s="148"/>
      <c r="AW25" s="148"/>
      <c r="AX25" s="148"/>
      <c r="AY25" s="149"/>
      <c r="AZ25" s="296">
        <v>7.91</v>
      </c>
      <c r="BA25" s="297">
        <v>35268</v>
      </c>
      <c r="BB25" s="284">
        <f>AZ25*BA25</f>
        <v>278969.88</v>
      </c>
    </row>
    <row r="26" spans="1:54" ht="12.75">
      <c r="A26" s="144"/>
      <c r="B26" s="144" t="s">
        <v>222</v>
      </c>
      <c r="C26" s="198">
        <v>109056121</v>
      </c>
      <c r="D26" s="323">
        <v>21492.1023</v>
      </c>
      <c r="E26" s="323">
        <v>21689.6482</v>
      </c>
      <c r="F26" s="164">
        <v>4800</v>
      </c>
      <c r="G26" s="324">
        <f aca="true" t="shared" si="1" ref="G26:G43">E26-D26</f>
        <v>197.54590000000098</v>
      </c>
      <c r="H26" s="164"/>
      <c r="I26" s="164">
        <f>ROUND(F26*G26+H26,0)</f>
        <v>948220</v>
      </c>
      <c r="J26" s="222" t="s">
        <v>548</v>
      </c>
      <c r="K26" s="223"/>
      <c r="L26" s="223"/>
      <c r="M26" s="191"/>
      <c r="N26" s="148"/>
      <c r="O26" s="148"/>
      <c r="P26" s="148"/>
      <c r="Q26" s="148"/>
      <c r="R26" s="209"/>
      <c r="S26" s="158" t="s">
        <v>166</v>
      </c>
      <c r="T26" s="148" t="s">
        <v>132</v>
      </c>
      <c r="U26" s="148"/>
      <c r="V26" s="148"/>
      <c r="W26" s="164">
        <f>SUM(X26:AA26)</f>
        <v>37641</v>
      </c>
      <c r="X26" s="187">
        <v>0</v>
      </c>
      <c r="Y26" s="169">
        <v>0</v>
      </c>
      <c r="Z26" s="164">
        <f>I45+I46</f>
        <v>37641</v>
      </c>
      <c r="AA26" s="169">
        <v>0</v>
      </c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02" t="s">
        <v>184</v>
      </c>
      <c r="AU26" s="150"/>
      <c r="AV26" s="150"/>
      <c r="AW26" s="150"/>
      <c r="AX26" s="160"/>
      <c r="AY26" s="161"/>
      <c r="AZ26" s="296">
        <f>(X14+AG14+AP14)/1000</f>
        <v>7375.016</v>
      </c>
      <c r="BA26" s="279">
        <v>17</v>
      </c>
      <c r="BB26" s="284">
        <f>AZ26*BA26</f>
        <v>125375.272</v>
      </c>
    </row>
    <row r="27" spans="1:54" ht="12.75">
      <c r="A27" s="143" t="s">
        <v>223</v>
      </c>
      <c r="B27" s="143" t="s">
        <v>235</v>
      </c>
      <c r="C27" s="197">
        <v>623125232</v>
      </c>
      <c r="D27" s="325">
        <v>9240.7087</v>
      </c>
      <c r="E27" s="325">
        <v>9240.7087</v>
      </c>
      <c r="F27" s="175">
        <v>1800</v>
      </c>
      <c r="G27" s="326">
        <f t="shared" si="1"/>
        <v>0</v>
      </c>
      <c r="H27" s="171"/>
      <c r="I27" s="175">
        <f>ROUND(G27*F27,0)</f>
        <v>0</v>
      </c>
      <c r="J27" s="120"/>
      <c r="K27" s="160"/>
      <c r="L27" s="160"/>
      <c r="M27" s="160"/>
      <c r="N27" s="160"/>
      <c r="O27" s="160"/>
      <c r="P27" s="190"/>
      <c r="Q27" s="238"/>
      <c r="R27" s="237"/>
      <c r="S27" s="179"/>
      <c r="T27" s="160"/>
      <c r="U27" s="160"/>
      <c r="V27" s="160"/>
      <c r="W27" s="180"/>
      <c r="X27" s="180"/>
      <c r="Y27" s="181"/>
      <c r="Z27" s="180"/>
      <c r="AA27" s="181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03" t="s">
        <v>185</v>
      </c>
      <c r="AU27" s="148"/>
      <c r="AV27" s="148"/>
      <c r="AW27" s="148"/>
      <c r="AX27" s="146"/>
      <c r="AY27" s="147"/>
      <c r="AZ27" s="296">
        <v>2.26</v>
      </c>
      <c r="BA27" s="279">
        <v>35268</v>
      </c>
      <c r="BB27" s="279">
        <f>AZ27*BA27</f>
        <v>79705.68</v>
      </c>
    </row>
    <row r="28" spans="1:54" ht="12.75">
      <c r="A28" s="144"/>
      <c r="B28" s="144" t="s">
        <v>222</v>
      </c>
      <c r="C28" s="169"/>
      <c r="D28" s="228"/>
      <c r="E28" s="228"/>
      <c r="F28" s="164"/>
      <c r="G28" s="227"/>
      <c r="H28" s="169"/>
      <c r="I28" s="164"/>
      <c r="J28" s="160" t="s">
        <v>279</v>
      </c>
      <c r="K28" s="160"/>
      <c r="L28" s="264"/>
      <c r="M28" s="181"/>
      <c r="N28" s="265"/>
      <c r="O28" s="265"/>
      <c r="P28" s="188"/>
      <c r="Q28" s="160"/>
      <c r="R28" s="190"/>
      <c r="S28" s="120"/>
      <c r="T28" s="120"/>
      <c r="U28" s="120"/>
      <c r="V28" s="120"/>
      <c r="W28" s="120"/>
      <c r="X28" s="120"/>
      <c r="Y28" s="120"/>
      <c r="Z28" s="120"/>
      <c r="AA28" s="120"/>
      <c r="AB28" s="120" t="s">
        <v>447</v>
      </c>
      <c r="AC28" s="120"/>
      <c r="AD28" s="120"/>
      <c r="AE28" s="120"/>
      <c r="AF28" s="120"/>
      <c r="AG28" s="120" t="s">
        <v>450</v>
      </c>
      <c r="AH28" s="120"/>
      <c r="AI28" s="120" t="s">
        <v>451</v>
      </c>
      <c r="AJ28" s="120"/>
      <c r="AK28" s="120" t="s">
        <v>447</v>
      </c>
      <c r="AL28" s="120"/>
      <c r="AM28" s="120"/>
      <c r="AN28" s="120"/>
      <c r="AO28" s="120"/>
      <c r="AP28" s="120" t="s">
        <v>151</v>
      </c>
      <c r="AQ28" s="120"/>
      <c r="AR28" s="120" t="s">
        <v>152</v>
      </c>
      <c r="AS28" s="120"/>
      <c r="AT28" s="159" t="s">
        <v>186</v>
      </c>
      <c r="AU28" s="160"/>
      <c r="AV28" s="160"/>
      <c r="AW28" s="160"/>
      <c r="AX28" s="146"/>
      <c r="AY28" s="147"/>
      <c r="AZ28" s="296">
        <f>(Z14+AI14+AR14)/1000</f>
        <v>1330.921</v>
      </c>
      <c r="BA28" s="279">
        <v>17</v>
      </c>
      <c r="BB28" s="284">
        <f>AZ28*BA28</f>
        <v>22625.657</v>
      </c>
    </row>
    <row r="29" spans="1:54" ht="12.75">
      <c r="A29" s="143" t="s">
        <v>225</v>
      </c>
      <c r="B29" s="143" t="s">
        <v>236</v>
      </c>
      <c r="C29" s="197">
        <v>623125667</v>
      </c>
      <c r="D29" s="325">
        <v>10985.6802</v>
      </c>
      <c r="E29" s="325">
        <v>11271.1471</v>
      </c>
      <c r="F29" s="175">
        <v>1800</v>
      </c>
      <c r="G29" s="326">
        <f t="shared" si="1"/>
        <v>285.46689999999944</v>
      </c>
      <c r="H29" s="171"/>
      <c r="I29" s="175">
        <f>ROUND(G29*F29,0)</f>
        <v>513840</v>
      </c>
      <c r="J29" s="160"/>
      <c r="K29" s="160"/>
      <c r="L29" s="181"/>
      <c r="M29" s="181"/>
      <c r="N29" s="188"/>
      <c r="O29" s="188"/>
      <c r="P29" s="188"/>
      <c r="Q29" s="160"/>
      <c r="R29" s="190"/>
      <c r="S29" s="120"/>
      <c r="T29" s="120"/>
      <c r="U29" s="120"/>
      <c r="V29" s="120"/>
      <c r="W29" s="120"/>
      <c r="X29" s="120"/>
      <c r="Y29" s="120"/>
      <c r="Z29" s="120"/>
      <c r="AA29" s="120"/>
      <c r="AB29" s="120" t="s">
        <v>527</v>
      </c>
      <c r="AC29" s="120"/>
      <c r="AD29" s="120"/>
      <c r="AE29" s="120"/>
      <c r="AF29" s="120"/>
      <c r="AG29" s="120" t="s">
        <v>150</v>
      </c>
      <c r="AH29" s="120"/>
      <c r="AI29" s="120"/>
      <c r="AJ29" s="120"/>
      <c r="AK29" s="120" t="s">
        <v>527</v>
      </c>
      <c r="AL29" s="120"/>
      <c r="AM29" s="120"/>
      <c r="AN29" s="120"/>
      <c r="AO29" s="120"/>
      <c r="AP29" s="120" t="s">
        <v>150</v>
      </c>
      <c r="AQ29" s="120"/>
      <c r="AR29" s="120"/>
      <c r="AS29" s="120"/>
      <c r="AT29" s="145"/>
      <c r="AU29" s="146"/>
      <c r="AV29" s="146"/>
      <c r="AW29" s="146"/>
      <c r="AX29" s="146"/>
      <c r="AY29" s="147"/>
      <c r="AZ29" s="280"/>
      <c r="BA29" s="287"/>
      <c r="BB29" s="284"/>
    </row>
    <row r="30" spans="1:54" ht="12.75">
      <c r="A30" s="144"/>
      <c r="B30" s="144" t="s">
        <v>222</v>
      </c>
      <c r="C30" s="169"/>
      <c r="D30" s="228"/>
      <c r="E30" s="228"/>
      <c r="F30" s="164"/>
      <c r="G30" s="227"/>
      <c r="H30" s="169"/>
      <c r="I30" s="164"/>
      <c r="J30" s="160"/>
      <c r="K30" s="160"/>
      <c r="L30" s="181"/>
      <c r="M30" s="181"/>
      <c r="N30" s="188"/>
      <c r="O30" s="188"/>
      <c r="P30" s="188"/>
      <c r="Q30" s="160"/>
      <c r="R30" s="19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45"/>
      <c r="AU30" s="146"/>
      <c r="AV30" s="146"/>
      <c r="AW30" s="146"/>
      <c r="AX30" s="146"/>
      <c r="AY30" s="147"/>
      <c r="AZ30" s="280"/>
      <c r="BA30" s="287"/>
      <c r="BB30" s="284"/>
    </row>
    <row r="31" spans="1:54" ht="12.75">
      <c r="A31" s="143" t="s">
        <v>226</v>
      </c>
      <c r="B31" s="143" t="s">
        <v>237</v>
      </c>
      <c r="C31" s="197">
        <v>623126370</v>
      </c>
      <c r="D31" s="325">
        <v>2949.1295</v>
      </c>
      <c r="E31" s="325">
        <v>3006.8687</v>
      </c>
      <c r="F31" s="175">
        <v>4800</v>
      </c>
      <c r="G31" s="326">
        <f t="shared" si="1"/>
        <v>57.73919999999998</v>
      </c>
      <c r="H31" s="171"/>
      <c r="I31" s="175">
        <f>ROUND(G31*F31,0)</f>
        <v>277148</v>
      </c>
      <c r="J31" s="160"/>
      <c r="K31" s="160"/>
      <c r="L31" s="264"/>
      <c r="M31" s="181"/>
      <c r="N31" s="265" t="s">
        <v>280</v>
      </c>
      <c r="O31" s="265"/>
      <c r="P31" s="188"/>
      <c r="Q31" s="160"/>
      <c r="R31" s="190"/>
      <c r="S31" s="120" t="s">
        <v>447</v>
      </c>
      <c r="T31" s="120"/>
      <c r="U31" s="120"/>
      <c r="V31" s="120"/>
      <c r="W31" s="120"/>
      <c r="X31" s="120" t="s">
        <v>450</v>
      </c>
      <c r="Y31" s="120"/>
      <c r="Z31" s="120" t="s">
        <v>451</v>
      </c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45"/>
      <c r="AU31" s="146"/>
      <c r="AV31" s="146"/>
      <c r="AW31" s="146"/>
      <c r="AX31" s="146"/>
      <c r="AY31" s="147"/>
      <c r="AZ31" s="280"/>
      <c r="BA31" s="287"/>
      <c r="BB31" s="284"/>
    </row>
    <row r="32" spans="1:54" ht="12.75">
      <c r="A32" s="144"/>
      <c r="B32" s="144" t="s">
        <v>222</v>
      </c>
      <c r="C32" s="169"/>
      <c r="D32" s="228"/>
      <c r="E32" s="228"/>
      <c r="F32" s="164"/>
      <c r="G32" s="227"/>
      <c r="H32" s="169"/>
      <c r="I32" s="164"/>
      <c r="J32" s="160"/>
      <c r="K32" s="160"/>
      <c r="L32" s="181"/>
      <c r="M32" s="181"/>
      <c r="N32" s="265" t="s">
        <v>529</v>
      </c>
      <c r="O32" s="265"/>
      <c r="P32" s="188"/>
      <c r="Q32" s="160"/>
      <c r="R32" s="190"/>
      <c r="S32" s="120" t="s">
        <v>527</v>
      </c>
      <c r="T32" s="120"/>
      <c r="U32" s="120"/>
      <c r="V32" s="120"/>
      <c r="W32" s="120"/>
      <c r="X32" s="120" t="s">
        <v>150</v>
      </c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45" t="s">
        <v>432</v>
      </c>
      <c r="AU32" s="146"/>
      <c r="AV32" s="146"/>
      <c r="AW32" s="146"/>
      <c r="AX32" s="146"/>
      <c r="AY32" s="147"/>
      <c r="AZ32" s="280"/>
      <c r="BA32" s="298"/>
      <c r="BB32" s="279"/>
    </row>
    <row r="33" spans="1:54" ht="12.75">
      <c r="A33" s="143" t="s">
        <v>227</v>
      </c>
      <c r="B33" s="143" t="s">
        <v>238</v>
      </c>
      <c r="C33" s="197">
        <v>623125137</v>
      </c>
      <c r="D33" s="325">
        <v>2202.709</v>
      </c>
      <c r="E33" s="325">
        <v>2202.709</v>
      </c>
      <c r="F33" s="175">
        <v>4800</v>
      </c>
      <c r="G33" s="326">
        <f t="shared" si="1"/>
        <v>0</v>
      </c>
      <c r="H33" s="171"/>
      <c r="I33" s="175">
        <f>ROUND(G33*F33,0)</f>
        <v>0</v>
      </c>
      <c r="J33" s="160"/>
      <c r="K33" s="160"/>
      <c r="L33" s="264"/>
      <c r="M33" s="181"/>
      <c r="N33" s="265" t="s">
        <v>563</v>
      </c>
      <c r="O33" s="265"/>
      <c r="P33" s="188"/>
      <c r="Q33" s="160"/>
      <c r="R33" s="190"/>
      <c r="S33" s="120"/>
      <c r="T33" s="120"/>
      <c r="U33" s="120"/>
      <c r="V33" s="120"/>
      <c r="W33" s="120"/>
      <c r="X33" s="120"/>
      <c r="Y33" s="120"/>
      <c r="Z33" s="120"/>
      <c r="AA33" s="120"/>
      <c r="AB33" s="120" t="s">
        <v>149</v>
      </c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45" t="s">
        <v>430</v>
      </c>
      <c r="AU33" s="146"/>
      <c r="AV33" s="146"/>
      <c r="AW33" s="146"/>
      <c r="AX33" s="146"/>
      <c r="AY33" s="147"/>
      <c r="AZ33" s="280"/>
      <c r="BA33" s="287"/>
      <c r="BB33" s="279"/>
    </row>
    <row r="34" spans="1:54" ht="12.75">
      <c r="A34" s="144"/>
      <c r="B34" s="144" t="s">
        <v>222</v>
      </c>
      <c r="C34" s="169"/>
      <c r="D34" s="228"/>
      <c r="E34" s="228"/>
      <c r="F34" s="164"/>
      <c r="G34" s="227"/>
      <c r="H34" s="169"/>
      <c r="I34" s="164"/>
      <c r="J34" s="160"/>
      <c r="K34" s="160"/>
      <c r="L34" s="181"/>
      <c r="M34" s="181"/>
      <c r="N34" s="265"/>
      <c r="O34" s="265"/>
      <c r="P34" s="188"/>
      <c r="Q34" s="160"/>
      <c r="R34" s="190"/>
      <c r="S34" s="120"/>
      <c r="T34" s="120"/>
      <c r="U34" s="120"/>
      <c r="V34" s="120"/>
      <c r="W34" s="120"/>
      <c r="X34" s="120"/>
      <c r="Y34" s="120"/>
      <c r="Z34" s="120"/>
      <c r="AA34" s="120"/>
      <c r="AB34" s="120" t="s">
        <v>18</v>
      </c>
      <c r="AC34" s="120"/>
      <c r="AD34" s="120"/>
      <c r="AE34" s="120"/>
      <c r="AF34" s="120"/>
      <c r="AG34" s="120"/>
      <c r="AH34" s="120"/>
      <c r="AI34" s="120"/>
      <c r="AJ34" s="120"/>
      <c r="AK34" s="120" t="s">
        <v>149</v>
      </c>
      <c r="AL34" s="120"/>
      <c r="AM34" s="120"/>
      <c r="AN34" s="120"/>
      <c r="AO34" s="120"/>
      <c r="AP34" s="120"/>
      <c r="AQ34" s="120"/>
      <c r="AR34" s="120"/>
      <c r="AS34" s="120"/>
      <c r="AT34" s="145" t="s">
        <v>437</v>
      </c>
      <c r="AU34" s="146"/>
      <c r="AV34" s="146"/>
      <c r="AW34" s="146"/>
      <c r="AX34" s="146"/>
      <c r="AY34" s="147"/>
      <c r="AZ34" s="280"/>
      <c r="BA34" s="293"/>
      <c r="BB34" s="279"/>
    </row>
    <row r="35" spans="1:54" ht="12.75">
      <c r="A35" s="143" t="s">
        <v>228</v>
      </c>
      <c r="B35" s="143" t="s">
        <v>239</v>
      </c>
      <c r="C35" s="197">
        <v>623125142</v>
      </c>
      <c r="D35" s="325">
        <v>14490.2672</v>
      </c>
      <c r="E35" s="325">
        <v>14801.043</v>
      </c>
      <c r="F35" s="175">
        <v>2400</v>
      </c>
      <c r="G35" s="326">
        <f t="shared" si="1"/>
        <v>310.77579999999944</v>
      </c>
      <c r="H35" s="171"/>
      <c r="I35" s="175">
        <f>ROUND(G35*F35,0)</f>
        <v>745862</v>
      </c>
      <c r="J35" s="160"/>
      <c r="K35" s="160"/>
      <c r="L35" s="264"/>
      <c r="M35" s="181"/>
      <c r="N35" s="266" t="s">
        <v>283</v>
      </c>
      <c r="O35" s="266"/>
      <c r="P35" s="188"/>
      <c r="Q35" s="160"/>
      <c r="R35" s="190"/>
      <c r="S35" s="120"/>
      <c r="T35" s="120"/>
      <c r="U35" s="120"/>
      <c r="V35" s="120"/>
      <c r="W35" s="120"/>
      <c r="X35" s="120"/>
      <c r="Y35" s="120"/>
      <c r="Z35" s="120"/>
      <c r="AA35" s="120"/>
      <c r="AB35" s="120" t="s">
        <v>167</v>
      </c>
      <c r="AC35" s="120"/>
      <c r="AD35" s="120"/>
      <c r="AE35" s="120"/>
      <c r="AF35" s="120"/>
      <c r="AG35" s="120" t="s">
        <v>134</v>
      </c>
      <c r="AH35" s="120"/>
      <c r="AI35" s="120" t="s">
        <v>133</v>
      </c>
      <c r="AJ35" s="120"/>
      <c r="AK35" s="120" t="s">
        <v>462</v>
      </c>
      <c r="AL35" s="120"/>
      <c r="AM35" s="120"/>
      <c r="AN35" s="120"/>
      <c r="AO35" s="120"/>
      <c r="AP35" s="120"/>
      <c r="AQ35" s="120" t="s">
        <v>463</v>
      </c>
      <c r="AR35" s="120"/>
      <c r="AS35" s="120"/>
      <c r="AT35" s="145" t="s">
        <v>430</v>
      </c>
      <c r="AU35" s="146"/>
      <c r="AV35" s="146"/>
      <c r="AW35" s="146"/>
      <c r="AX35" s="146"/>
      <c r="AY35" s="147"/>
      <c r="AZ35" s="280"/>
      <c r="BA35" s="293"/>
      <c r="BB35" s="279"/>
    </row>
    <row r="36" spans="1:54" ht="12.75">
      <c r="A36" s="144"/>
      <c r="B36" s="144" t="s">
        <v>222</v>
      </c>
      <c r="C36" s="169"/>
      <c r="D36" s="228"/>
      <c r="E36" s="228"/>
      <c r="F36" s="164"/>
      <c r="G36" s="227"/>
      <c r="H36" s="169"/>
      <c r="I36" s="164"/>
      <c r="J36" s="160"/>
      <c r="K36" s="239"/>
      <c r="L36" s="181"/>
      <c r="M36" s="181"/>
      <c r="N36" s="267" t="s">
        <v>281</v>
      </c>
      <c r="O36" s="188"/>
      <c r="P36" s="188"/>
      <c r="Q36" s="160"/>
      <c r="R36" s="190"/>
      <c r="S36" s="120"/>
      <c r="T36" s="120"/>
      <c r="U36" s="120"/>
      <c r="V36" s="120"/>
      <c r="W36" s="120"/>
      <c r="X36" s="120"/>
      <c r="Y36" s="120"/>
      <c r="Z36" s="120"/>
      <c r="AA36" s="120"/>
      <c r="AB36" s="120" t="s">
        <v>188</v>
      </c>
      <c r="AC36" s="120"/>
      <c r="AD36" s="120"/>
      <c r="AE36" s="120"/>
      <c r="AF36" s="120"/>
      <c r="AG36" s="120" t="s">
        <v>150</v>
      </c>
      <c r="AH36" s="120"/>
      <c r="AI36" s="120"/>
      <c r="AJ36" s="120"/>
      <c r="AK36" s="120"/>
      <c r="AL36" s="120"/>
      <c r="AM36" s="120"/>
      <c r="AN36" s="120"/>
      <c r="AO36" s="120"/>
      <c r="AP36" s="120"/>
      <c r="AQ36" s="120" t="s">
        <v>150</v>
      </c>
      <c r="AR36" s="120"/>
      <c r="AS36" s="120"/>
      <c r="AT36" s="145" t="s">
        <v>430</v>
      </c>
      <c r="AU36" s="146"/>
      <c r="AV36" s="146"/>
      <c r="AW36" s="146"/>
      <c r="AX36" s="146"/>
      <c r="AY36" s="147"/>
      <c r="AZ36" s="280"/>
      <c r="BA36" s="293"/>
      <c r="BB36" s="279"/>
    </row>
    <row r="37" spans="1:54" ht="12.75">
      <c r="A37" s="143" t="s">
        <v>229</v>
      </c>
      <c r="B37" s="143" t="s">
        <v>240</v>
      </c>
      <c r="C37" s="197">
        <v>623125205</v>
      </c>
      <c r="D37" s="325">
        <v>5283.8812</v>
      </c>
      <c r="E37" s="325">
        <v>5398.5313</v>
      </c>
      <c r="F37" s="175">
        <v>1800</v>
      </c>
      <c r="G37" s="326">
        <f t="shared" si="1"/>
        <v>114.65009999999984</v>
      </c>
      <c r="H37" s="171"/>
      <c r="I37" s="175">
        <f>ROUND(G37*F37,0)</f>
        <v>206370</v>
      </c>
      <c r="J37" s="120"/>
      <c r="K37" s="160"/>
      <c r="L37" s="160"/>
      <c r="M37" s="160"/>
      <c r="N37" s="160"/>
      <c r="O37" s="160"/>
      <c r="P37" s="190"/>
      <c r="Q37" s="236"/>
      <c r="R37" s="237"/>
      <c r="S37" s="120" t="s">
        <v>611</v>
      </c>
      <c r="T37" s="120"/>
      <c r="U37" s="120"/>
      <c r="V37" s="120"/>
      <c r="W37" s="120"/>
      <c r="X37" s="120" t="s">
        <v>450</v>
      </c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46" t="s">
        <v>323</v>
      </c>
      <c r="AU37" s="146"/>
      <c r="AV37" s="146"/>
      <c r="AW37" s="146"/>
      <c r="AX37" s="146"/>
      <c r="AY37" s="147"/>
      <c r="AZ37" s="280"/>
      <c r="BA37" s="287"/>
      <c r="BB37" s="279"/>
    </row>
    <row r="38" spans="1:54" ht="12.75">
      <c r="A38" s="144"/>
      <c r="B38" s="144" t="s">
        <v>222</v>
      </c>
      <c r="C38" s="169"/>
      <c r="D38" s="228"/>
      <c r="E38" s="228"/>
      <c r="F38" s="164"/>
      <c r="G38" s="227"/>
      <c r="H38" s="169"/>
      <c r="I38" s="164"/>
      <c r="J38" s="120"/>
      <c r="K38" s="160"/>
      <c r="L38" s="160"/>
      <c r="M38" s="160"/>
      <c r="N38" s="160"/>
      <c r="O38" s="160"/>
      <c r="P38" s="190"/>
      <c r="Q38" s="236"/>
      <c r="R38" s="237"/>
      <c r="S38" s="120"/>
      <c r="T38" s="120"/>
      <c r="U38" s="120"/>
      <c r="V38" s="120"/>
      <c r="W38" s="120"/>
      <c r="X38" s="120" t="s">
        <v>150</v>
      </c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45" t="s">
        <v>430</v>
      </c>
      <c r="AU38" s="146"/>
      <c r="AV38" s="146" t="s">
        <v>96</v>
      </c>
      <c r="AW38" s="146"/>
      <c r="AX38" s="146"/>
      <c r="AY38" s="147"/>
      <c r="AZ38" s="280"/>
      <c r="BA38" s="293"/>
      <c r="BB38" s="279"/>
    </row>
    <row r="39" spans="1:54" ht="12.75">
      <c r="A39" s="143" t="s">
        <v>230</v>
      </c>
      <c r="B39" s="143" t="s">
        <v>241</v>
      </c>
      <c r="C39" s="197">
        <v>623123704</v>
      </c>
      <c r="D39" s="325">
        <v>8646.7758</v>
      </c>
      <c r="E39" s="325">
        <v>9071.5185</v>
      </c>
      <c r="F39" s="175">
        <v>1800</v>
      </c>
      <c r="G39" s="326">
        <f t="shared" si="1"/>
        <v>424.7427000000007</v>
      </c>
      <c r="H39" s="171"/>
      <c r="I39" s="175">
        <f>ROUND(G39*F39,0)</f>
        <v>764537</v>
      </c>
      <c r="J39" s="120"/>
      <c r="K39" s="160"/>
      <c r="L39" s="160"/>
      <c r="M39" s="160"/>
      <c r="N39" s="160"/>
      <c r="O39" s="160"/>
      <c r="P39" s="190"/>
      <c r="Q39" s="236"/>
      <c r="R39" s="237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45" t="s">
        <v>431</v>
      </c>
      <c r="AU39" s="146"/>
      <c r="AV39" s="146" t="s">
        <v>416</v>
      </c>
      <c r="AW39" s="146"/>
      <c r="AX39" s="146"/>
      <c r="AY39" s="147"/>
      <c r="AZ39" s="280"/>
      <c r="BA39" s="293"/>
      <c r="BB39" s="279"/>
    </row>
    <row r="40" spans="1:54" ht="12.75">
      <c r="A40" s="144"/>
      <c r="B40" s="144" t="s">
        <v>222</v>
      </c>
      <c r="C40" s="169"/>
      <c r="D40" s="228"/>
      <c r="E40" s="228"/>
      <c r="F40" s="164"/>
      <c r="G40" s="227"/>
      <c r="H40" s="169"/>
      <c r="I40" s="164"/>
      <c r="J40" s="120"/>
      <c r="K40" s="160"/>
      <c r="L40" s="160"/>
      <c r="M40" s="160"/>
      <c r="N40" s="160"/>
      <c r="O40" s="160"/>
      <c r="P40" s="190"/>
      <c r="Q40" s="236"/>
      <c r="R40" s="237"/>
      <c r="S40" s="239"/>
      <c r="T40" s="268"/>
      <c r="U40" s="160"/>
      <c r="V40" s="160"/>
      <c r="W40" s="188"/>
      <c r="X40" s="188"/>
      <c r="Y40" s="269"/>
      <c r="Z40" s="160"/>
      <c r="AA40" s="19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45"/>
      <c r="AU40" s="146"/>
      <c r="AV40" s="146"/>
      <c r="AW40" s="146"/>
      <c r="AX40" s="146"/>
      <c r="AY40" s="147"/>
      <c r="AZ40" s="280"/>
      <c r="BA40" s="293"/>
      <c r="BB40" s="279"/>
    </row>
    <row r="41" spans="1:54" ht="12.75">
      <c r="A41" s="143" t="s">
        <v>231</v>
      </c>
      <c r="B41" s="143" t="s">
        <v>242</v>
      </c>
      <c r="C41" s="197">
        <v>623125794</v>
      </c>
      <c r="D41" s="325">
        <v>169.9601</v>
      </c>
      <c r="E41" s="325">
        <v>191.8954</v>
      </c>
      <c r="F41" s="175">
        <v>1800</v>
      </c>
      <c r="G41" s="326">
        <f t="shared" si="1"/>
        <v>21.935299999999984</v>
      </c>
      <c r="H41" s="171"/>
      <c r="I41" s="175">
        <f>ROUND(G41*F41,0)</f>
        <v>39484</v>
      </c>
      <c r="J41" s="120"/>
      <c r="K41" s="160"/>
      <c r="L41" s="160"/>
      <c r="M41" s="160"/>
      <c r="N41" s="160"/>
      <c r="O41" s="160"/>
      <c r="P41" s="190"/>
      <c r="Q41" s="236"/>
      <c r="R41" s="237"/>
      <c r="S41" s="239"/>
      <c r="T41" s="268"/>
      <c r="U41" s="160"/>
      <c r="V41" s="160"/>
      <c r="W41" s="188"/>
      <c r="X41" s="188"/>
      <c r="Y41" s="269"/>
      <c r="Z41" s="160"/>
      <c r="AA41" s="19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45"/>
      <c r="AU41" s="146"/>
      <c r="AV41" s="146"/>
      <c r="AW41" s="146"/>
      <c r="AX41" s="146"/>
      <c r="AY41" s="147"/>
      <c r="AZ41" s="280"/>
      <c r="BA41" s="293"/>
      <c r="BB41" s="279"/>
    </row>
    <row r="42" spans="1:54" ht="12.75">
      <c r="A42" s="144"/>
      <c r="B42" s="144" t="s">
        <v>222</v>
      </c>
      <c r="C42" s="169"/>
      <c r="D42" s="228"/>
      <c r="E42" s="228"/>
      <c r="F42" s="164"/>
      <c r="G42" s="227"/>
      <c r="H42" s="169"/>
      <c r="I42" s="164"/>
      <c r="J42" s="120"/>
      <c r="K42" s="160"/>
      <c r="L42" s="160"/>
      <c r="M42" s="160"/>
      <c r="N42" s="160"/>
      <c r="O42" s="160"/>
      <c r="P42" s="190"/>
      <c r="Q42" s="236"/>
      <c r="R42" s="237"/>
      <c r="S42" s="268"/>
      <c r="T42" s="239"/>
      <c r="U42" s="160"/>
      <c r="V42" s="160"/>
      <c r="W42" s="160"/>
      <c r="X42" s="160"/>
      <c r="Y42" s="160"/>
      <c r="Z42" s="160"/>
      <c r="AA42" s="19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45"/>
      <c r="AU42" s="146"/>
      <c r="AV42" s="146"/>
      <c r="AW42" s="146"/>
      <c r="AX42" s="146"/>
      <c r="AY42" s="147"/>
      <c r="AZ42" s="280"/>
      <c r="BA42" s="287"/>
      <c r="BB42" s="279"/>
    </row>
    <row r="43" spans="1:54" ht="12.75">
      <c r="A43" s="143" t="s">
        <v>232</v>
      </c>
      <c r="B43" s="143" t="s">
        <v>243</v>
      </c>
      <c r="C43" s="197">
        <v>623125736</v>
      </c>
      <c r="D43" s="325">
        <v>4588.1491</v>
      </c>
      <c r="E43" s="325">
        <v>4760.248</v>
      </c>
      <c r="F43" s="175">
        <v>1200</v>
      </c>
      <c r="G43" s="326">
        <f t="shared" si="1"/>
        <v>172.09889999999996</v>
      </c>
      <c r="H43" s="171"/>
      <c r="I43" s="175">
        <f>ROUND(G43*F43,0)</f>
        <v>206519</v>
      </c>
      <c r="J43" s="120"/>
      <c r="K43" s="160"/>
      <c r="L43" s="160"/>
      <c r="M43" s="160"/>
      <c r="N43" s="160"/>
      <c r="O43" s="160"/>
      <c r="P43" s="190"/>
      <c r="Q43" s="236"/>
      <c r="R43" s="237"/>
      <c r="S43" s="239"/>
      <c r="T43" s="268"/>
      <c r="U43" s="160"/>
      <c r="V43" s="160"/>
      <c r="W43" s="188"/>
      <c r="X43" s="188"/>
      <c r="Y43" s="269"/>
      <c r="Z43" s="160"/>
      <c r="AA43" s="19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45" t="s">
        <v>323</v>
      </c>
      <c r="AU43" s="146"/>
      <c r="AV43" s="146"/>
      <c r="AW43" s="146"/>
      <c r="AX43" s="146"/>
      <c r="AY43" s="147"/>
      <c r="AZ43" s="280"/>
      <c r="BA43" s="293"/>
      <c r="BB43" s="279"/>
    </row>
    <row r="44" spans="1:54" ht="12.75">
      <c r="A44" s="144"/>
      <c r="B44" s="144" t="s">
        <v>222</v>
      </c>
      <c r="C44" s="168"/>
      <c r="D44" s="228"/>
      <c r="E44" s="228"/>
      <c r="F44" s="164"/>
      <c r="G44" s="227"/>
      <c r="H44" s="169"/>
      <c r="I44" s="164"/>
      <c r="J44" s="160"/>
      <c r="K44" s="160"/>
      <c r="L44" s="160"/>
      <c r="M44" s="160"/>
      <c r="N44" s="160"/>
      <c r="O44" s="160"/>
      <c r="P44" s="190"/>
      <c r="Q44" s="236"/>
      <c r="R44" s="237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45"/>
      <c r="AU44" s="146"/>
      <c r="AV44" s="146"/>
      <c r="AW44" s="146"/>
      <c r="AX44" s="146"/>
      <c r="AY44" s="147"/>
      <c r="AZ44" s="280"/>
      <c r="BA44" s="287"/>
      <c r="BB44" s="279"/>
    </row>
    <row r="45" spans="1:54" ht="12.75">
      <c r="A45" s="143" t="s">
        <v>233</v>
      </c>
      <c r="B45" s="145" t="s">
        <v>234</v>
      </c>
      <c r="C45" s="197">
        <v>1110171156</v>
      </c>
      <c r="D45" s="325">
        <v>13959.4396</v>
      </c>
      <c r="E45" s="325">
        <v>14900.4568</v>
      </c>
      <c r="F45" s="175">
        <v>40</v>
      </c>
      <c r="G45" s="326">
        <f>E45-D45</f>
        <v>941.0172000000002</v>
      </c>
      <c r="H45" s="171"/>
      <c r="I45" s="175">
        <f>ROUND(G45*F45,0)</f>
        <v>37641</v>
      </c>
      <c r="J45" s="160"/>
      <c r="K45" s="160"/>
      <c r="L45" s="160"/>
      <c r="M45" s="160"/>
      <c r="N45" s="160"/>
      <c r="O45" s="160"/>
      <c r="P45" s="190"/>
      <c r="Q45" s="238"/>
      <c r="R45" s="237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45" t="s">
        <v>3</v>
      </c>
      <c r="AU45" s="146"/>
      <c r="AV45" s="146"/>
      <c r="AW45" s="146"/>
      <c r="AX45" s="146"/>
      <c r="AY45" s="147"/>
      <c r="AZ45" s="280"/>
      <c r="BA45" s="287"/>
      <c r="BB45" s="279"/>
    </row>
    <row r="46" spans="1:54" ht="12.75">
      <c r="A46" s="144"/>
      <c r="B46" s="103" t="s">
        <v>222</v>
      </c>
      <c r="C46" s="198"/>
      <c r="D46" s="378"/>
      <c r="E46" s="325"/>
      <c r="F46" s="175"/>
      <c r="G46" s="326"/>
      <c r="H46" s="171"/>
      <c r="I46" s="175"/>
      <c r="J46" s="160"/>
      <c r="K46" s="160"/>
      <c r="L46" s="160"/>
      <c r="M46" s="160"/>
      <c r="N46" s="160"/>
      <c r="O46" s="160"/>
      <c r="P46" s="190"/>
      <c r="Q46" s="236"/>
      <c r="R46" s="237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45"/>
      <c r="AU46" s="146"/>
      <c r="AV46" s="146" t="s">
        <v>330</v>
      </c>
      <c r="AW46" s="146"/>
      <c r="AX46" s="146"/>
      <c r="AY46" s="147"/>
      <c r="AZ46" s="280"/>
      <c r="BA46" s="298"/>
      <c r="BB46" s="279"/>
    </row>
    <row r="47" spans="1:54" ht="12.75">
      <c r="A47" s="201"/>
      <c r="B47" s="150"/>
      <c r="C47" s="191"/>
      <c r="D47" s="199"/>
      <c r="E47" s="200"/>
      <c r="F47" s="200"/>
      <c r="G47" s="215" t="s">
        <v>244</v>
      </c>
      <c r="H47" s="151"/>
      <c r="I47" s="235">
        <f>ROUND((SUM(I25:I46)+I20),0)</f>
        <v>8427046</v>
      </c>
      <c r="J47" s="160"/>
      <c r="K47" s="160"/>
      <c r="L47" s="160"/>
      <c r="M47" s="160"/>
      <c r="N47" s="160"/>
      <c r="O47" s="160"/>
      <c r="P47" s="190"/>
      <c r="Q47" s="238"/>
      <c r="R47" s="237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45"/>
      <c r="AU47" s="146"/>
      <c r="AV47" s="146"/>
      <c r="AW47" s="146"/>
      <c r="AX47" s="146"/>
      <c r="AY47" s="147"/>
      <c r="AZ47" s="280"/>
      <c r="BA47" s="287"/>
      <c r="BB47" s="279"/>
    </row>
    <row r="48" spans="1:54" ht="12.75">
      <c r="A48" s="143" t="s">
        <v>247</v>
      </c>
      <c r="B48" s="145" t="s">
        <v>245</v>
      </c>
      <c r="C48" s="202"/>
      <c r="D48" s="202"/>
      <c r="E48" s="203"/>
      <c r="F48" s="203"/>
      <c r="G48" s="204"/>
      <c r="H48" s="146"/>
      <c r="I48" s="205"/>
      <c r="J48" s="160"/>
      <c r="K48" s="160"/>
      <c r="L48" s="160"/>
      <c r="M48" s="160"/>
      <c r="N48" s="160"/>
      <c r="O48" s="160"/>
      <c r="P48" s="190"/>
      <c r="Q48" s="236"/>
      <c r="R48" s="237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45"/>
      <c r="AU48" s="146"/>
      <c r="AV48" s="146"/>
      <c r="AW48" s="146"/>
      <c r="AX48" s="146"/>
      <c r="AY48" s="147"/>
      <c r="AZ48" s="280"/>
      <c r="BA48" s="298"/>
      <c r="BB48" s="279"/>
    </row>
    <row r="49" spans="1:54" ht="12.75">
      <c r="A49" s="173"/>
      <c r="B49" s="159" t="s">
        <v>246</v>
      </c>
      <c r="C49" s="206"/>
      <c r="D49" s="191"/>
      <c r="E49" s="207"/>
      <c r="F49" s="207"/>
      <c r="G49" s="208"/>
      <c r="H49" s="148"/>
      <c r="I49" s="209"/>
      <c r="J49" s="160"/>
      <c r="K49" s="160"/>
      <c r="L49" s="239"/>
      <c r="M49" s="160"/>
      <c r="N49" s="160"/>
      <c r="O49" s="160"/>
      <c r="P49" s="190"/>
      <c r="Q49" s="236"/>
      <c r="R49" s="237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45"/>
      <c r="AU49" s="146"/>
      <c r="AV49" s="146" t="s">
        <v>330</v>
      </c>
      <c r="AW49" s="146"/>
      <c r="AX49" s="146"/>
      <c r="AY49" s="147"/>
      <c r="AZ49" s="280"/>
      <c r="BA49" s="293"/>
      <c r="BB49" s="279"/>
    </row>
    <row r="50" spans="1:54" ht="12.75">
      <c r="A50" s="145" t="s">
        <v>248</v>
      </c>
      <c r="B50" s="143" t="s">
        <v>484</v>
      </c>
      <c r="C50" s="304"/>
      <c r="D50" s="211"/>
      <c r="E50" s="211"/>
      <c r="F50" s="155"/>
      <c r="G50" s="212"/>
      <c r="H50" s="152"/>
      <c r="I50" s="155"/>
      <c r="J50" s="160"/>
      <c r="K50" s="160"/>
      <c r="L50" s="160"/>
      <c r="M50" s="160"/>
      <c r="N50" s="160"/>
      <c r="O50" s="160"/>
      <c r="P50" s="160"/>
      <c r="Q50" s="160"/>
      <c r="R50" s="16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50"/>
      <c r="AU50" s="150"/>
      <c r="AV50" s="270" t="s">
        <v>534</v>
      </c>
      <c r="AW50" s="150"/>
      <c r="AX50" s="150"/>
      <c r="AY50" s="151"/>
      <c r="AZ50" s="280"/>
      <c r="BA50" s="293"/>
      <c r="BB50" s="279"/>
    </row>
    <row r="51" spans="1:54" ht="12.75">
      <c r="A51" s="159"/>
      <c r="B51" s="173"/>
      <c r="C51" s="305">
        <v>611127627</v>
      </c>
      <c r="D51" s="302">
        <v>6302.8772</v>
      </c>
      <c r="E51" s="302">
        <v>6348.1124</v>
      </c>
      <c r="F51" s="155">
        <v>40</v>
      </c>
      <c r="G51" s="252">
        <f>E51-D51</f>
        <v>45.23520000000008</v>
      </c>
      <c r="H51" s="155"/>
      <c r="I51" s="155">
        <f>ROUND(F51*G51+H51,0)</f>
        <v>1809</v>
      </c>
      <c r="J51" s="160"/>
      <c r="K51" s="160"/>
      <c r="L51" s="160"/>
      <c r="M51" s="160"/>
      <c r="N51" s="160"/>
      <c r="O51" s="160"/>
      <c r="P51" s="160"/>
      <c r="Q51" s="160"/>
      <c r="R51" s="16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60"/>
      <c r="AU51" s="120"/>
      <c r="AV51" s="120"/>
      <c r="AW51" s="120"/>
      <c r="AX51" s="120"/>
      <c r="AY51" s="120"/>
      <c r="AZ51" s="120"/>
      <c r="BA51" s="120"/>
      <c r="BB51" s="120"/>
    </row>
    <row r="52" spans="1:54" ht="12.75">
      <c r="A52" s="159"/>
      <c r="B52" s="144" t="s">
        <v>467</v>
      </c>
      <c r="C52" s="305"/>
      <c r="D52" s="306"/>
      <c r="E52" s="306"/>
      <c r="F52" s="155"/>
      <c r="G52" s="212"/>
      <c r="H52" s="155"/>
      <c r="I52" s="155"/>
      <c r="J52" s="160"/>
      <c r="K52" s="160"/>
      <c r="L52" s="160"/>
      <c r="M52" s="160"/>
      <c r="N52" s="160"/>
      <c r="O52" s="160"/>
      <c r="P52" s="160"/>
      <c r="Q52" s="160"/>
      <c r="R52" s="16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60"/>
      <c r="AU52" s="120"/>
      <c r="AV52" s="120"/>
      <c r="AW52" s="120"/>
      <c r="AX52" s="120"/>
      <c r="AY52" s="120"/>
      <c r="AZ52" s="120"/>
      <c r="BA52" s="120"/>
      <c r="BB52" s="120"/>
    </row>
    <row r="53" spans="1:54" ht="12.75">
      <c r="A53" s="143" t="s">
        <v>251</v>
      </c>
      <c r="B53" s="161"/>
      <c r="C53" s="213">
        <v>810120245</v>
      </c>
      <c r="D53" s="302">
        <v>3771.6602</v>
      </c>
      <c r="E53" s="302">
        <v>3778.8321</v>
      </c>
      <c r="F53" s="155">
        <v>3600</v>
      </c>
      <c r="G53" s="252">
        <f>E53-D53</f>
        <v>7.171900000000278</v>
      </c>
      <c r="H53" s="155"/>
      <c r="I53" s="155">
        <f>ROUND(F53*G53+H53,0)</f>
        <v>25819</v>
      </c>
      <c r="J53" s="160"/>
      <c r="K53" s="160"/>
      <c r="L53" s="160"/>
      <c r="M53" s="160"/>
      <c r="N53" s="160"/>
      <c r="O53" s="160"/>
      <c r="P53" s="160"/>
      <c r="Q53" s="160"/>
      <c r="R53" s="16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60" t="s">
        <v>616</v>
      </c>
      <c r="AU53" s="120"/>
      <c r="AV53" s="120"/>
      <c r="AW53" s="120"/>
      <c r="AX53" s="120"/>
      <c r="AY53" s="120"/>
      <c r="AZ53" s="120"/>
      <c r="BA53" s="120"/>
      <c r="BB53" s="120"/>
    </row>
    <row r="54" spans="1:54" ht="12.75">
      <c r="A54" s="173"/>
      <c r="B54" s="161" t="s">
        <v>494</v>
      </c>
      <c r="C54" s="213"/>
      <c r="D54" s="302"/>
      <c r="E54" s="302"/>
      <c r="F54" s="155"/>
      <c r="G54" s="252"/>
      <c r="H54" s="96"/>
      <c r="I54" s="155"/>
      <c r="J54" s="160"/>
      <c r="K54" s="160"/>
      <c r="L54" s="160"/>
      <c r="M54" s="160"/>
      <c r="N54" s="160"/>
      <c r="O54" s="160"/>
      <c r="P54" s="160"/>
      <c r="Q54" s="160"/>
      <c r="R54" s="16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60"/>
      <c r="AU54" s="120"/>
      <c r="AV54" s="120"/>
      <c r="AW54" s="120"/>
      <c r="AX54" s="120"/>
      <c r="AY54" s="120"/>
      <c r="AZ54" s="120"/>
      <c r="BA54" s="120"/>
      <c r="BB54" s="120"/>
    </row>
    <row r="55" spans="1:54" ht="12.75">
      <c r="A55" s="173"/>
      <c r="B55" s="161"/>
      <c r="C55" s="210">
        <v>4050284</v>
      </c>
      <c r="D55" s="230">
        <v>4388.3577</v>
      </c>
      <c r="E55" s="230">
        <v>4431.1404</v>
      </c>
      <c r="F55" s="155">
        <v>3600</v>
      </c>
      <c r="G55" s="253">
        <f>E55-D55</f>
        <v>42.78270000000066</v>
      </c>
      <c r="H55" s="96"/>
      <c r="I55" s="155">
        <f>ROUND(F55*G55+H55,0)</f>
        <v>154018</v>
      </c>
      <c r="J55" s="160"/>
      <c r="K55" s="160"/>
      <c r="L55" s="160"/>
      <c r="M55" s="160"/>
      <c r="N55" s="160"/>
      <c r="O55" s="160"/>
      <c r="P55" s="160"/>
      <c r="Q55" s="160"/>
      <c r="R55" s="16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60"/>
      <c r="AU55" s="120"/>
      <c r="AV55" s="120"/>
      <c r="AW55" s="120"/>
      <c r="AX55" s="120"/>
      <c r="AY55" s="120"/>
      <c r="AZ55" s="120"/>
      <c r="BA55" s="120"/>
      <c r="BB55" s="120"/>
    </row>
    <row r="56" spans="1:54" ht="12.75">
      <c r="A56" s="144"/>
      <c r="B56" s="149"/>
      <c r="C56" s="210"/>
      <c r="D56" s="230"/>
      <c r="E56" s="230"/>
      <c r="F56" s="155"/>
      <c r="G56" s="253"/>
      <c r="H56" s="96"/>
      <c r="I56" s="155"/>
      <c r="J56" s="160"/>
      <c r="K56" s="160"/>
      <c r="L56" s="160"/>
      <c r="M56" s="160"/>
      <c r="N56" s="160"/>
      <c r="O56" s="160"/>
      <c r="P56" s="160"/>
      <c r="Q56" s="160"/>
      <c r="R56" s="24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60"/>
      <c r="AU56" s="120"/>
      <c r="AV56" s="120"/>
      <c r="AW56" s="120"/>
      <c r="AX56" s="120"/>
      <c r="AY56" s="120"/>
      <c r="AZ56" s="120"/>
      <c r="BA56" s="120"/>
      <c r="BB56" s="120"/>
    </row>
    <row r="57" spans="1:54" ht="12.75">
      <c r="A57" s="173" t="s">
        <v>252</v>
      </c>
      <c r="B57" s="143" t="s">
        <v>218</v>
      </c>
      <c r="C57" s="152"/>
      <c r="D57" s="211"/>
      <c r="E57" s="211"/>
      <c r="F57" s="155"/>
      <c r="G57" s="212"/>
      <c r="H57" s="96"/>
      <c r="I57" s="155"/>
      <c r="J57" s="160"/>
      <c r="K57" s="120"/>
      <c r="L57" s="120"/>
      <c r="M57" s="120"/>
      <c r="N57" s="120"/>
      <c r="O57" s="120"/>
      <c r="P57" s="120"/>
      <c r="Q57" s="120"/>
      <c r="R57" s="241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60"/>
      <c r="AU57" s="120"/>
      <c r="AV57" s="120"/>
      <c r="AW57" s="120"/>
      <c r="AX57" s="120"/>
      <c r="AY57" s="120"/>
      <c r="AZ57" s="120"/>
      <c r="BA57" s="120"/>
      <c r="BB57" s="271"/>
    </row>
    <row r="58" spans="1:54" ht="12.75">
      <c r="A58" s="307"/>
      <c r="B58" s="173" t="s">
        <v>217</v>
      </c>
      <c r="C58" s="305">
        <v>611127492</v>
      </c>
      <c r="D58" s="302">
        <v>21171.8172</v>
      </c>
      <c r="E58" s="302">
        <v>21580.008</v>
      </c>
      <c r="F58" s="155">
        <v>20</v>
      </c>
      <c r="G58" s="252">
        <f>E58-D58</f>
        <v>408.1908000000003</v>
      </c>
      <c r="H58" s="155"/>
      <c r="I58" s="155">
        <f>ROUND(F58*G58+H58,0)</f>
        <v>8164</v>
      </c>
      <c r="J58" s="16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60"/>
      <c r="AU58" s="120"/>
      <c r="AV58" s="120" t="s">
        <v>144</v>
      </c>
      <c r="AW58" s="120"/>
      <c r="AX58" s="120"/>
      <c r="AY58" s="120"/>
      <c r="AZ58" s="120"/>
      <c r="BA58" s="120"/>
      <c r="BB58" s="272">
        <f>BA9</f>
        <v>3.6439479019315137</v>
      </c>
    </row>
    <row r="59" spans="1:54" ht="12.75">
      <c r="A59" s="145" t="s">
        <v>253</v>
      </c>
      <c r="B59" s="143" t="s">
        <v>485</v>
      </c>
      <c r="C59" s="309"/>
      <c r="D59" s="211"/>
      <c r="E59" s="211"/>
      <c r="F59" s="155"/>
      <c r="G59" s="212"/>
      <c r="H59" s="96"/>
      <c r="I59" s="155"/>
      <c r="J59" s="160"/>
      <c r="K59" s="160"/>
      <c r="L59" s="160"/>
      <c r="M59" s="160"/>
      <c r="N59" s="160"/>
      <c r="O59" s="160"/>
      <c r="P59" s="160"/>
      <c r="Q59" s="160"/>
      <c r="R59" s="16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60"/>
      <c r="AU59" s="120"/>
      <c r="AV59" s="120"/>
      <c r="AW59" s="120"/>
      <c r="AX59" s="120"/>
      <c r="AY59" s="120"/>
      <c r="AZ59" s="120"/>
      <c r="BA59" s="120"/>
      <c r="BB59" s="120"/>
    </row>
    <row r="60" spans="1:54" ht="12.75">
      <c r="A60" s="308"/>
      <c r="B60" s="168" t="s">
        <v>546</v>
      </c>
      <c r="C60" s="305">
        <v>611127702</v>
      </c>
      <c r="D60" s="302">
        <v>32284.4076</v>
      </c>
      <c r="E60" s="302">
        <v>32644.9676</v>
      </c>
      <c r="F60" s="155">
        <v>60</v>
      </c>
      <c r="G60" s="252">
        <f>E60-D60</f>
        <v>360.5600000000013</v>
      </c>
      <c r="H60" s="96"/>
      <c r="I60" s="155">
        <f>ROUND(F60*G60+H60,0)</f>
        <v>21634</v>
      </c>
      <c r="J60" s="160"/>
      <c r="K60" s="160"/>
      <c r="L60" s="160"/>
      <c r="M60" s="160"/>
      <c r="N60" s="160"/>
      <c r="O60" s="160"/>
      <c r="P60" s="160"/>
      <c r="Q60" s="160"/>
      <c r="R60" s="16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60"/>
      <c r="AU60" s="160"/>
      <c r="AV60" s="160"/>
      <c r="AW60" s="160"/>
      <c r="AX60" s="160"/>
      <c r="AY60" s="160"/>
      <c r="AZ60" s="160"/>
      <c r="BA60" s="160"/>
      <c r="BB60" s="160"/>
    </row>
    <row r="61" spans="1:54" ht="13.5">
      <c r="A61" s="159"/>
      <c r="B61" s="168" t="s">
        <v>547</v>
      </c>
      <c r="C61" s="305">
        <v>611127555</v>
      </c>
      <c r="D61" s="302">
        <v>11311.4924</v>
      </c>
      <c r="E61" s="302">
        <v>12127.8056</v>
      </c>
      <c r="F61" s="155">
        <v>60</v>
      </c>
      <c r="G61" s="252">
        <f>E61-D61</f>
        <v>816.3132000000005</v>
      </c>
      <c r="H61" s="96"/>
      <c r="I61" s="155">
        <f>ROUND(F61*G61+H61,0)</f>
        <v>48979</v>
      </c>
      <c r="J61" s="160"/>
      <c r="K61" s="160"/>
      <c r="L61" s="160"/>
      <c r="M61" s="160"/>
      <c r="N61" s="160"/>
      <c r="O61" s="242"/>
      <c r="P61" s="243"/>
      <c r="Q61" s="160"/>
      <c r="R61" s="16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60"/>
      <c r="AU61" s="160"/>
      <c r="AV61" s="160"/>
      <c r="AW61" s="160"/>
      <c r="AX61" s="160"/>
      <c r="AY61" s="242"/>
      <c r="AZ61" s="243"/>
      <c r="BA61" s="160"/>
      <c r="BB61" s="160"/>
    </row>
    <row r="62" spans="1:54" ht="12.75">
      <c r="A62" s="145" t="s">
        <v>258</v>
      </c>
      <c r="B62" s="143" t="s">
        <v>486</v>
      </c>
      <c r="C62" s="310"/>
      <c r="D62" s="232"/>
      <c r="E62" s="232"/>
      <c r="F62" s="155"/>
      <c r="G62" s="212"/>
      <c r="H62" s="96"/>
      <c r="I62" s="155"/>
      <c r="J62" s="160"/>
      <c r="K62" s="160"/>
      <c r="L62" s="160"/>
      <c r="M62" s="160"/>
      <c r="N62" s="160"/>
      <c r="O62" s="160"/>
      <c r="P62" s="160"/>
      <c r="Q62" s="160"/>
      <c r="R62" s="16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60"/>
      <c r="AU62" s="160"/>
      <c r="AV62" s="160"/>
      <c r="AW62" s="160"/>
      <c r="AX62" s="160"/>
      <c r="AY62" s="160"/>
      <c r="AZ62" s="160"/>
      <c r="BA62" s="160"/>
      <c r="BB62" s="160"/>
    </row>
    <row r="63" spans="1:54" ht="12.75">
      <c r="A63" s="308"/>
      <c r="B63" s="173"/>
      <c r="C63" s="305">
        <v>1110171163</v>
      </c>
      <c r="D63" s="302">
        <v>1277.8488</v>
      </c>
      <c r="E63" s="302">
        <v>1306.4132</v>
      </c>
      <c r="F63" s="155">
        <v>60</v>
      </c>
      <c r="G63" s="252">
        <f>E63-D63</f>
        <v>28.564399999999978</v>
      </c>
      <c r="H63" s="96"/>
      <c r="I63" s="155">
        <f>ROUND(F63*G63+H63,0)</f>
        <v>1714</v>
      </c>
      <c r="J63" s="243"/>
      <c r="K63" s="160"/>
      <c r="L63" s="160"/>
      <c r="M63" s="160"/>
      <c r="N63" s="160"/>
      <c r="O63" s="160"/>
      <c r="P63" s="189"/>
      <c r="Q63" s="160"/>
      <c r="R63" s="244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243"/>
      <c r="AU63" s="160"/>
      <c r="AV63" s="160"/>
      <c r="AW63" s="160"/>
      <c r="AX63" s="160"/>
      <c r="AY63" s="160"/>
      <c r="AZ63" s="189"/>
      <c r="BA63" s="160"/>
      <c r="BB63" s="244"/>
    </row>
    <row r="64" spans="1:54" ht="12.75">
      <c r="A64" s="159"/>
      <c r="B64" s="173"/>
      <c r="C64" s="305"/>
      <c r="D64" s="302"/>
      <c r="E64" s="302"/>
      <c r="F64" s="155"/>
      <c r="G64" s="252"/>
      <c r="H64" s="96"/>
      <c r="I64" s="155"/>
      <c r="J64" s="243"/>
      <c r="K64" s="160"/>
      <c r="L64" s="160"/>
      <c r="M64" s="160"/>
      <c r="N64" s="160"/>
      <c r="O64" s="160"/>
      <c r="P64" s="189"/>
      <c r="Q64" s="160"/>
      <c r="R64" s="244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243"/>
      <c r="AU64" s="160"/>
      <c r="AV64" s="160"/>
      <c r="AW64" s="160"/>
      <c r="AX64" s="160"/>
      <c r="AY64" s="160"/>
      <c r="AZ64" s="189"/>
      <c r="BA64" s="160"/>
      <c r="BB64" s="244"/>
    </row>
    <row r="65" spans="1:54" ht="12.75">
      <c r="A65" s="145" t="s">
        <v>260</v>
      </c>
      <c r="B65" s="143" t="s">
        <v>487</v>
      </c>
      <c r="C65" s="311"/>
      <c r="D65" s="232"/>
      <c r="E65" s="232"/>
      <c r="F65" s="155"/>
      <c r="G65" s="212"/>
      <c r="H65" s="96"/>
      <c r="I65" s="155"/>
      <c r="J65" s="243"/>
      <c r="K65" s="160"/>
      <c r="L65" s="160"/>
      <c r="M65" s="160"/>
      <c r="N65" s="160"/>
      <c r="O65" s="160"/>
      <c r="P65" s="189"/>
      <c r="Q65" s="160"/>
      <c r="R65" s="244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243"/>
      <c r="AU65" s="160"/>
      <c r="AV65" s="160"/>
      <c r="AW65" s="160"/>
      <c r="AX65" s="160"/>
      <c r="AY65" s="160"/>
      <c r="AZ65" s="189"/>
      <c r="BA65" s="160"/>
      <c r="BB65" s="244"/>
    </row>
    <row r="66" spans="1:54" ht="12.75">
      <c r="A66" s="159"/>
      <c r="B66" s="173"/>
      <c r="C66" s="305">
        <v>1110171170</v>
      </c>
      <c r="D66" s="302">
        <v>190.3596</v>
      </c>
      <c r="E66" s="302">
        <v>197.9768</v>
      </c>
      <c r="F66" s="155">
        <v>40</v>
      </c>
      <c r="G66" s="252">
        <f>E66-D66</f>
        <v>7.617199999999997</v>
      </c>
      <c r="H66" s="155"/>
      <c r="I66" s="155">
        <f>ROUND(F66*G66+H66,0)</f>
        <v>305</v>
      </c>
      <c r="J66" s="243"/>
      <c r="K66" s="160"/>
      <c r="L66" s="160"/>
      <c r="M66" s="160"/>
      <c r="N66" s="160"/>
      <c r="O66" s="160"/>
      <c r="P66" s="189"/>
      <c r="Q66" s="160"/>
      <c r="R66" s="244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243"/>
      <c r="AU66" s="160"/>
      <c r="AV66" s="160"/>
      <c r="AW66" s="160"/>
      <c r="AX66" s="160"/>
      <c r="AY66" s="160"/>
      <c r="AZ66" s="189"/>
      <c r="BA66" s="160"/>
      <c r="BB66" s="244"/>
    </row>
    <row r="67" spans="1:54" ht="12.75">
      <c r="A67" s="159"/>
      <c r="B67" s="173"/>
      <c r="C67" s="305"/>
      <c r="D67" s="302"/>
      <c r="E67" s="302"/>
      <c r="F67" s="155"/>
      <c r="G67" s="252"/>
      <c r="H67" s="155"/>
      <c r="I67" s="155"/>
      <c r="J67" s="16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60"/>
      <c r="AU67" s="160"/>
      <c r="AV67" s="160"/>
      <c r="AW67" s="160"/>
      <c r="AX67" s="160"/>
      <c r="AY67" s="160"/>
      <c r="AZ67" s="160"/>
      <c r="BA67" s="160"/>
      <c r="BB67" s="160"/>
    </row>
    <row r="68" spans="1:54" ht="12.75">
      <c r="A68" s="145" t="s">
        <v>261</v>
      </c>
      <c r="B68" s="143" t="s">
        <v>550</v>
      </c>
      <c r="C68" s="305">
        <v>611126342</v>
      </c>
      <c r="D68" s="302">
        <v>25782.5391</v>
      </c>
      <c r="E68" s="302">
        <v>25782.5391</v>
      </c>
      <c r="F68" s="155">
        <v>1800</v>
      </c>
      <c r="G68" s="252">
        <f>E68-D68</f>
        <v>0</v>
      </c>
      <c r="H68" s="155"/>
      <c r="I68" s="155">
        <f>ROUND(F68*G68+H68,0)</f>
        <v>0</v>
      </c>
      <c r="J68" s="160"/>
      <c r="K68" s="160"/>
      <c r="L68" s="160"/>
      <c r="M68" s="160"/>
      <c r="N68" s="160"/>
      <c r="O68" s="160"/>
      <c r="P68" s="160"/>
      <c r="Q68" s="160"/>
      <c r="R68" s="16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60"/>
      <c r="AU68" s="160"/>
      <c r="AV68" s="160"/>
      <c r="AW68" s="160"/>
      <c r="AX68" s="160"/>
      <c r="AY68" s="160"/>
      <c r="AZ68" s="160"/>
      <c r="BA68" s="160"/>
      <c r="BB68" s="160"/>
    </row>
    <row r="69" spans="1:54" ht="13.5">
      <c r="A69" s="159"/>
      <c r="B69" s="173" t="s">
        <v>551</v>
      </c>
      <c r="C69" s="305">
        <v>611126404</v>
      </c>
      <c r="D69" s="302">
        <v>596.9716</v>
      </c>
      <c r="E69" s="302">
        <v>606.0406</v>
      </c>
      <c r="F69" s="155">
        <v>1800</v>
      </c>
      <c r="G69" s="252">
        <f>E69-D69</f>
        <v>9.069000000000074</v>
      </c>
      <c r="H69" s="155"/>
      <c r="I69" s="155">
        <f>ROUND((F69*G69+H69),0)</f>
        <v>16324</v>
      </c>
      <c r="J69" s="160"/>
      <c r="K69" s="160"/>
      <c r="L69" s="160"/>
      <c r="M69" s="160"/>
      <c r="N69" s="160"/>
      <c r="O69" s="242"/>
      <c r="P69" s="243"/>
      <c r="Q69" s="160"/>
      <c r="R69" s="16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60"/>
      <c r="AU69" s="160"/>
      <c r="AV69" s="160"/>
      <c r="AW69" s="160"/>
      <c r="AX69" s="160"/>
      <c r="AY69" s="242"/>
      <c r="AZ69" s="243"/>
      <c r="BA69" s="160"/>
      <c r="BB69" s="160"/>
    </row>
    <row r="70" spans="1:54" ht="12.75">
      <c r="A70" s="103"/>
      <c r="B70" s="144" t="s">
        <v>509</v>
      </c>
      <c r="C70" s="305">
        <v>611126334</v>
      </c>
      <c r="D70" s="302">
        <v>2.3724</v>
      </c>
      <c r="E70" s="302">
        <v>2.3724</v>
      </c>
      <c r="F70" s="155">
        <v>1800</v>
      </c>
      <c r="G70" s="252">
        <f>E70-D70</f>
        <v>0</v>
      </c>
      <c r="H70" s="96"/>
      <c r="I70" s="155">
        <f>ROUND(F70*G70+H70,0)</f>
        <v>0</v>
      </c>
      <c r="J70" s="160"/>
      <c r="K70" s="160"/>
      <c r="L70" s="160"/>
      <c r="M70" s="160"/>
      <c r="N70" s="160"/>
      <c r="O70" s="160"/>
      <c r="P70" s="160"/>
      <c r="Q70" s="160"/>
      <c r="R70" s="16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60"/>
      <c r="AU70" s="160"/>
      <c r="AV70" s="160"/>
      <c r="AW70" s="160"/>
      <c r="AX70" s="160"/>
      <c r="AY70" s="160"/>
      <c r="AZ70" s="160"/>
      <c r="BA70" s="160"/>
      <c r="BB70" s="160"/>
    </row>
    <row r="71" spans="1:54" ht="12.75">
      <c r="A71" s="159" t="s">
        <v>477</v>
      </c>
      <c r="B71" s="173" t="s">
        <v>488</v>
      </c>
      <c r="C71" s="305">
        <v>611127724</v>
      </c>
      <c r="D71" s="302">
        <v>1958.712</v>
      </c>
      <c r="E71" s="302">
        <v>1990.9516</v>
      </c>
      <c r="F71" s="155">
        <v>30</v>
      </c>
      <c r="G71" s="252">
        <f>E71-D71</f>
        <v>32.23960000000011</v>
      </c>
      <c r="H71" s="155"/>
      <c r="I71" s="155">
        <f>ROUND(F71*G71+H71,0)</f>
        <v>967</v>
      </c>
      <c r="J71" s="243"/>
      <c r="K71" s="160"/>
      <c r="L71" s="160"/>
      <c r="M71" s="160"/>
      <c r="N71" s="160"/>
      <c r="O71" s="160"/>
      <c r="P71" s="189"/>
      <c r="Q71" s="160"/>
      <c r="R71" s="244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243"/>
      <c r="AU71" s="160"/>
      <c r="AV71" s="160"/>
      <c r="AW71" s="160"/>
      <c r="AX71" s="160"/>
      <c r="AY71" s="160"/>
      <c r="AZ71" s="189"/>
      <c r="BA71" s="160"/>
      <c r="BB71" s="244"/>
    </row>
    <row r="72" spans="1:54" ht="12.75">
      <c r="A72" s="103"/>
      <c r="B72" s="173" t="s">
        <v>542</v>
      </c>
      <c r="C72" s="305"/>
      <c r="D72" s="306"/>
      <c r="E72" s="306"/>
      <c r="F72" s="155"/>
      <c r="G72" s="212"/>
      <c r="H72" s="155"/>
      <c r="I72" s="155"/>
      <c r="J72" s="243"/>
      <c r="K72" s="160"/>
      <c r="L72" s="160"/>
      <c r="M72" s="160"/>
      <c r="N72" s="160"/>
      <c r="O72" s="160"/>
      <c r="P72" s="189"/>
      <c r="Q72" s="160"/>
      <c r="R72" s="244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243"/>
      <c r="AU72" s="160"/>
      <c r="AV72" s="160"/>
      <c r="AW72" s="160"/>
      <c r="AX72" s="160"/>
      <c r="AY72" s="160"/>
      <c r="AZ72" s="189"/>
      <c r="BA72" s="160"/>
      <c r="BB72" s="244"/>
    </row>
    <row r="73" spans="1:54" ht="12.75">
      <c r="A73" s="96"/>
      <c r="B73" s="312"/>
      <c r="C73" s="171"/>
      <c r="D73" s="212"/>
      <c r="E73" s="212"/>
      <c r="F73" s="155"/>
      <c r="G73" s="212"/>
      <c r="H73" s="155"/>
      <c r="I73" s="155"/>
      <c r="J73" s="243"/>
      <c r="K73" s="160"/>
      <c r="L73" s="160"/>
      <c r="M73" s="160"/>
      <c r="N73" s="160"/>
      <c r="O73" s="160"/>
      <c r="P73" s="189"/>
      <c r="Q73" s="160"/>
      <c r="R73" s="244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243"/>
      <c r="AU73" s="160"/>
      <c r="AV73" s="160"/>
      <c r="AW73" s="160"/>
      <c r="AX73" s="160"/>
      <c r="AY73" s="160"/>
      <c r="AZ73" s="189"/>
      <c r="BA73" s="160"/>
      <c r="BB73" s="244"/>
    </row>
    <row r="74" spans="1:54" ht="12.75">
      <c r="A74" s="103"/>
      <c r="B74" s="148"/>
      <c r="C74" s="150"/>
      <c r="D74" s="150"/>
      <c r="E74" s="150"/>
      <c r="F74" s="150" t="s">
        <v>264</v>
      </c>
      <c r="G74" s="150"/>
      <c r="H74" s="151"/>
      <c r="I74" s="235">
        <f>ROUND((SUM(I50:I69)-I73),0)</f>
        <v>278766</v>
      </c>
      <c r="J74" s="243"/>
      <c r="K74" s="160"/>
      <c r="L74" s="160"/>
      <c r="M74" s="160"/>
      <c r="N74" s="160"/>
      <c r="O74" s="160"/>
      <c r="P74" s="189"/>
      <c r="Q74" s="160"/>
      <c r="R74" s="244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243"/>
      <c r="AU74" s="160"/>
      <c r="AV74" s="160"/>
      <c r="AW74" s="160"/>
      <c r="AX74" s="160"/>
      <c r="AY74" s="160"/>
      <c r="AZ74" s="189"/>
      <c r="BA74" s="160"/>
      <c r="BB74" s="244"/>
    </row>
    <row r="75" spans="1:54" ht="12.75">
      <c r="A75" s="102"/>
      <c r="B75" s="150"/>
      <c r="C75" s="150"/>
      <c r="D75" s="150"/>
      <c r="E75" s="150"/>
      <c r="F75" s="150"/>
      <c r="G75" s="150" t="s">
        <v>265</v>
      </c>
      <c r="H75" s="151"/>
      <c r="I75" s="235">
        <f>ROUND((I18+I20-I47-I74),0)</f>
        <v>5568119</v>
      </c>
      <c r="J75" s="160"/>
      <c r="K75" s="160">
        <f>I18+I20+I22-I47-I74</f>
        <v>5651140</v>
      </c>
      <c r="L75" s="160"/>
      <c r="M75" s="160"/>
      <c r="N75" s="160"/>
      <c r="O75" s="160"/>
      <c r="P75" s="190"/>
      <c r="Q75" s="160"/>
      <c r="R75" s="24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60"/>
      <c r="AU75" s="160"/>
      <c r="AV75" s="160"/>
      <c r="AW75" s="160"/>
      <c r="AX75" s="160"/>
      <c r="AY75" s="160"/>
      <c r="AZ75" s="190"/>
      <c r="BA75" s="160"/>
      <c r="BB75" s="240"/>
    </row>
    <row r="76" spans="1:54" ht="12.75">
      <c r="A76" s="96" t="s">
        <v>272</v>
      </c>
      <c r="B76" s="102" t="s">
        <v>266</v>
      </c>
      <c r="C76" s="150"/>
      <c r="D76" s="150"/>
      <c r="E76" s="150"/>
      <c r="F76" s="150"/>
      <c r="G76" s="150"/>
      <c r="H76" s="150"/>
      <c r="I76" s="151"/>
      <c r="J76" s="160"/>
      <c r="K76" s="160"/>
      <c r="L76" s="160"/>
      <c r="M76" s="160"/>
      <c r="N76" s="160"/>
      <c r="O76" s="160"/>
      <c r="P76" s="190"/>
      <c r="Q76" s="160"/>
      <c r="R76" s="24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60"/>
      <c r="AU76" s="160"/>
      <c r="AV76" s="160"/>
      <c r="AW76" s="160"/>
      <c r="AX76" s="160"/>
      <c r="AY76" s="160"/>
      <c r="AZ76" s="190"/>
      <c r="BA76" s="160"/>
      <c r="BB76" s="240"/>
    </row>
    <row r="77" spans="1:54" ht="12.75">
      <c r="A77" s="143" t="s">
        <v>270</v>
      </c>
      <c r="B77" s="143" t="s">
        <v>267</v>
      </c>
      <c r="C77" s="171">
        <v>18705639</v>
      </c>
      <c r="D77" s="234">
        <v>19051</v>
      </c>
      <c r="E77" s="234">
        <v>19294</v>
      </c>
      <c r="F77" s="175">
        <v>30</v>
      </c>
      <c r="G77" s="322">
        <f>E77-D77</f>
        <v>243</v>
      </c>
      <c r="H77" s="143">
        <v>1306</v>
      </c>
      <c r="I77" s="175">
        <f>F77*G77+H77</f>
        <v>8596</v>
      </c>
      <c r="J77" s="160"/>
      <c r="K77" s="160"/>
      <c r="L77" s="160"/>
      <c r="M77" s="160"/>
      <c r="N77" s="160"/>
      <c r="O77" s="160"/>
      <c r="P77" s="190"/>
      <c r="Q77" s="160"/>
      <c r="R77" s="24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60"/>
      <c r="AU77" s="160"/>
      <c r="AV77" s="160"/>
      <c r="AW77" s="160"/>
      <c r="AX77" s="160"/>
      <c r="AY77" s="160"/>
      <c r="AZ77" s="190"/>
      <c r="BA77" s="160"/>
      <c r="BB77" s="240"/>
    </row>
    <row r="78" spans="1:54" ht="12.75">
      <c r="A78" s="144"/>
      <c r="B78" s="144" t="s">
        <v>268</v>
      </c>
      <c r="C78" s="169"/>
      <c r="D78" s="144"/>
      <c r="E78" s="144"/>
      <c r="F78" s="164"/>
      <c r="G78" s="144"/>
      <c r="H78" s="144"/>
      <c r="I78" s="144"/>
      <c r="J78" s="160"/>
      <c r="K78" s="160"/>
      <c r="L78" s="160"/>
      <c r="M78" s="160"/>
      <c r="N78" s="160"/>
      <c r="O78" s="160"/>
      <c r="P78" s="190"/>
      <c r="Q78" s="160"/>
      <c r="R78" s="24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60"/>
      <c r="AU78" s="160"/>
      <c r="AV78" s="160"/>
      <c r="AW78" s="160"/>
      <c r="AX78" s="160"/>
      <c r="AY78" s="160"/>
      <c r="AZ78" s="190"/>
      <c r="BA78" s="160"/>
      <c r="BB78" s="240"/>
    </row>
    <row r="79" spans="1:54" ht="12.75">
      <c r="A79" s="143" t="s">
        <v>271</v>
      </c>
      <c r="B79" s="143" t="s">
        <v>269</v>
      </c>
      <c r="C79" s="171">
        <v>18705843</v>
      </c>
      <c r="D79" s="234">
        <v>1070.8</v>
      </c>
      <c r="E79" s="234">
        <v>1070.8</v>
      </c>
      <c r="F79" s="175">
        <v>30</v>
      </c>
      <c r="G79" s="233">
        <f>E79-D79</f>
        <v>0</v>
      </c>
      <c r="H79" s="143">
        <v>0</v>
      </c>
      <c r="I79" s="175">
        <f>F79*G79+H79</f>
        <v>0</v>
      </c>
      <c r="J79" s="160"/>
      <c r="K79" s="160"/>
      <c r="L79" s="160"/>
      <c r="M79" s="160"/>
      <c r="N79" s="160"/>
      <c r="O79" s="160"/>
      <c r="P79" s="190"/>
      <c r="Q79" s="160"/>
      <c r="R79" s="24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60"/>
      <c r="AU79" s="160"/>
      <c r="AV79" s="160"/>
      <c r="AW79" s="160"/>
      <c r="AX79" s="160"/>
      <c r="AY79" s="160"/>
      <c r="AZ79" s="190"/>
      <c r="BA79" s="160"/>
      <c r="BB79" s="240"/>
    </row>
    <row r="80" spans="1:54" ht="12.75">
      <c r="A80" s="144"/>
      <c r="B80" s="144" t="s">
        <v>268</v>
      </c>
      <c r="C80" s="169"/>
      <c r="D80" s="144"/>
      <c r="E80" s="144"/>
      <c r="F80" s="164"/>
      <c r="G80" s="144"/>
      <c r="H80" s="144"/>
      <c r="I80" s="144"/>
      <c r="J80" s="160"/>
      <c r="K80" s="160"/>
      <c r="L80" s="160"/>
      <c r="M80" s="160"/>
      <c r="N80" s="160"/>
      <c r="O80" s="160"/>
      <c r="P80" s="190"/>
      <c r="Q80" s="160"/>
      <c r="R80" s="24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60"/>
      <c r="AU80" s="160"/>
      <c r="AV80" s="160"/>
      <c r="AW80" s="160"/>
      <c r="AX80" s="160"/>
      <c r="AY80" s="160"/>
      <c r="AZ80" s="190"/>
      <c r="BA80" s="160"/>
      <c r="BB80" s="240"/>
    </row>
    <row r="81" spans="1:54" ht="12.75">
      <c r="A81" s="102"/>
      <c r="B81" s="150"/>
      <c r="C81" s="217"/>
      <c r="D81" s="199"/>
      <c r="E81" s="218"/>
      <c r="F81" s="218" t="s">
        <v>273</v>
      </c>
      <c r="G81" s="219"/>
      <c r="H81" s="151"/>
      <c r="I81" s="155">
        <f>I77+I79</f>
        <v>8596</v>
      </c>
      <c r="J81" s="243"/>
      <c r="K81" s="160"/>
      <c r="L81" s="160"/>
      <c r="M81" s="160"/>
      <c r="N81" s="160"/>
      <c r="O81" s="160"/>
      <c r="P81" s="189"/>
      <c r="Q81" s="160"/>
      <c r="R81" s="244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243"/>
      <c r="AU81" s="160"/>
      <c r="AV81" s="160"/>
      <c r="AW81" s="160"/>
      <c r="AX81" s="160"/>
      <c r="AY81" s="160"/>
      <c r="AZ81" s="189"/>
      <c r="BA81" s="160"/>
      <c r="BB81" s="244"/>
    </row>
    <row r="82" spans="1:54" ht="12.75">
      <c r="A82" s="102"/>
      <c r="B82" s="150"/>
      <c r="C82" s="217"/>
      <c r="D82" s="199"/>
      <c r="E82" s="218"/>
      <c r="F82" s="218"/>
      <c r="G82" s="219" t="s">
        <v>274</v>
      </c>
      <c r="H82" s="151"/>
      <c r="I82" s="235">
        <f>I75+I81</f>
        <v>5576715</v>
      </c>
      <c r="J82" s="160"/>
      <c r="K82" s="160"/>
      <c r="L82" s="160"/>
      <c r="M82" s="160"/>
      <c r="N82" s="160"/>
      <c r="O82" s="160"/>
      <c r="P82" s="190"/>
      <c r="Q82" s="160"/>
      <c r="R82" s="24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60"/>
      <c r="AU82" s="160"/>
      <c r="AV82" s="160"/>
      <c r="AW82" s="160"/>
      <c r="AX82" s="160"/>
      <c r="AY82" s="160"/>
      <c r="AZ82" s="190"/>
      <c r="BA82" s="160"/>
      <c r="BB82" s="240"/>
    </row>
    <row r="83" spans="1:54" ht="12.75">
      <c r="A83" s="145" t="s">
        <v>275</v>
      </c>
      <c r="B83" s="146"/>
      <c r="C83" s="220"/>
      <c r="D83" s="202"/>
      <c r="E83" s="221"/>
      <c r="F83" s="221"/>
      <c r="G83" s="204"/>
      <c r="H83" s="146"/>
      <c r="I83" s="205"/>
      <c r="J83" s="160"/>
      <c r="K83" s="160"/>
      <c r="L83" s="160"/>
      <c r="M83" s="160"/>
      <c r="N83" s="160"/>
      <c r="O83" s="160"/>
      <c r="P83" s="190"/>
      <c r="Q83" s="160"/>
      <c r="R83" s="24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60"/>
      <c r="AU83" s="160"/>
      <c r="AV83" s="160"/>
      <c r="AW83" s="160"/>
      <c r="AX83" s="160"/>
      <c r="AY83" s="160"/>
      <c r="AZ83" s="190"/>
      <c r="BA83" s="160"/>
      <c r="BB83" s="240"/>
    </row>
    <row r="84" spans="1:54" ht="12.75">
      <c r="A84" s="222" t="s">
        <v>538</v>
      </c>
      <c r="B84" s="223"/>
      <c r="C84" s="223"/>
      <c r="D84" s="191"/>
      <c r="E84" s="148"/>
      <c r="F84" s="148"/>
      <c r="G84" s="148"/>
      <c r="H84" s="148"/>
      <c r="I84" s="209"/>
      <c r="J84" s="160"/>
      <c r="K84" s="160"/>
      <c r="L84" s="160"/>
      <c r="M84" s="160"/>
      <c r="N84" s="160"/>
      <c r="O84" s="160"/>
      <c r="P84" s="190"/>
      <c r="Q84" s="160"/>
      <c r="R84" s="24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60"/>
      <c r="AU84" s="160"/>
      <c r="AV84" s="160"/>
      <c r="AW84" s="160"/>
      <c r="AX84" s="160"/>
      <c r="AY84" s="160"/>
      <c r="AZ84" s="190"/>
      <c r="BA84" s="160"/>
      <c r="BB84" s="240"/>
    </row>
    <row r="85" spans="1:54" ht="12.75">
      <c r="A85" s="160" t="s">
        <v>279</v>
      </c>
      <c r="B85" s="160"/>
      <c r="C85" s="264"/>
      <c r="D85" s="181"/>
      <c r="E85" s="265"/>
      <c r="F85" s="265"/>
      <c r="G85" s="188"/>
      <c r="H85" s="160"/>
      <c r="I85" s="190"/>
      <c r="J85" s="160"/>
      <c r="K85" s="160"/>
      <c r="L85" s="160"/>
      <c r="M85" s="160"/>
      <c r="N85" s="160"/>
      <c r="O85" s="160"/>
      <c r="P85" s="190"/>
      <c r="Q85" s="160"/>
      <c r="R85" s="24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60"/>
      <c r="AU85" s="160"/>
      <c r="AV85" s="160"/>
      <c r="AW85" s="160"/>
      <c r="AX85" s="160"/>
      <c r="AY85" s="160"/>
      <c r="AZ85" s="190"/>
      <c r="BA85" s="160"/>
      <c r="BB85" s="240"/>
    </row>
    <row r="86" spans="1:54" ht="12.75">
      <c r="A86" s="160"/>
      <c r="B86" s="160"/>
      <c r="C86" s="181"/>
      <c r="D86" s="313" t="s">
        <v>280</v>
      </c>
      <c r="E86" s="313"/>
      <c r="F86" s="314"/>
      <c r="G86" s="243"/>
      <c r="H86" s="243"/>
      <c r="I86" s="189"/>
      <c r="J86" s="160"/>
      <c r="K86" s="160"/>
      <c r="L86" s="188"/>
      <c r="M86" s="188"/>
      <c r="N86" s="160"/>
      <c r="O86" s="160"/>
      <c r="P86" s="190"/>
      <c r="Q86" s="160"/>
      <c r="R86" s="24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60"/>
      <c r="AU86" s="160"/>
      <c r="AV86" s="188"/>
      <c r="AW86" s="188"/>
      <c r="AX86" s="160"/>
      <c r="AY86" s="160"/>
      <c r="AZ86" s="190"/>
      <c r="BA86" s="160"/>
      <c r="BB86" s="240"/>
    </row>
    <row r="87" spans="1:54" ht="12.75">
      <c r="A87" s="160"/>
      <c r="B87" s="160"/>
      <c r="C87" s="181"/>
      <c r="D87" s="313" t="s">
        <v>531</v>
      </c>
      <c r="E87" s="313"/>
      <c r="F87" s="314"/>
      <c r="G87" s="243"/>
      <c r="H87" s="243"/>
      <c r="I87" s="189"/>
      <c r="J87" s="243"/>
      <c r="K87" s="160"/>
      <c r="L87" s="160"/>
      <c r="M87" s="160"/>
      <c r="N87" s="160"/>
      <c r="O87" s="160"/>
      <c r="P87" s="189"/>
      <c r="Q87" s="160"/>
      <c r="R87" s="244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243"/>
      <c r="AU87" s="160"/>
      <c r="AV87" s="160"/>
      <c r="AW87" s="160"/>
      <c r="AX87" s="160"/>
      <c r="AY87" s="160"/>
      <c r="AZ87" s="189"/>
      <c r="BA87" s="160"/>
      <c r="BB87" s="244"/>
    </row>
    <row r="88" spans="1:54" ht="12.75">
      <c r="A88" s="160"/>
      <c r="B88" s="160"/>
      <c r="C88" s="264"/>
      <c r="D88" s="313" t="s">
        <v>539</v>
      </c>
      <c r="E88" s="313"/>
      <c r="F88" s="314"/>
      <c r="G88" s="243"/>
      <c r="H88" s="243"/>
      <c r="I88" s="189"/>
      <c r="J88" s="160"/>
      <c r="K88" s="160"/>
      <c r="L88" s="160"/>
      <c r="M88" s="160"/>
      <c r="N88" s="160"/>
      <c r="O88" s="160"/>
      <c r="P88" s="190"/>
      <c r="Q88" s="160"/>
      <c r="R88" s="24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60"/>
      <c r="AU88" s="160"/>
      <c r="AV88" s="160"/>
      <c r="AW88" s="160"/>
      <c r="AX88" s="160"/>
      <c r="AY88" s="160"/>
      <c r="AZ88" s="190"/>
      <c r="BA88" s="160"/>
      <c r="BB88" s="240"/>
    </row>
    <row r="89" spans="1:54" ht="12.75">
      <c r="A89" s="120"/>
      <c r="B89" s="120"/>
      <c r="C89" s="120"/>
      <c r="D89" s="120" t="s">
        <v>192</v>
      </c>
      <c r="E89" s="120"/>
      <c r="F89" s="120"/>
      <c r="G89" s="120"/>
      <c r="H89" s="120"/>
      <c r="I89" s="120"/>
      <c r="J89" s="160"/>
      <c r="K89" s="160"/>
      <c r="L89" s="160"/>
      <c r="M89" s="160"/>
      <c r="N89" s="160"/>
      <c r="O89" s="160"/>
      <c r="P89" s="190"/>
      <c r="Q89" s="160"/>
      <c r="R89" s="24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60" t="s">
        <v>530</v>
      </c>
      <c r="AU89" s="120"/>
      <c r="AV89" s="120"/>
      <c r="AW89" s="120"/>
      <c r="AX89" s="120"/>
      <c r="AY89" s="120"/>
      <c r="AZ89" s="120"/>
      <c r="BA89" s="120"/>
      <c r="BB89" s="120"/>
    </row>
    <row r="90" spans="1:54" ht="12.75">
      <c r="A90" s="120"/>
      <c r="B90" s="120"/>
      <c r="C90" s="120"/>
      <c r="D90" s="120" t="s">
        <v>193</v>
      </c>
      <c r="E90" s="120"/>
      <c r="F90" s="120"/>
      <c r="G90" s="120"/>
      <c r="H90" s="120"/>
      <c r="I90" s="120"/>
      <c r="J90" s="243"/>
      <c r="K90" s="160"/>
      <c r="L90" s="160"/>
      <c r="M90" s="160"/>
      <c r="N90" s="160"/>
      <c r="O90" s="160"/>
      <c r="P90" s="189"/>
      <c r="Q90" s="160"/>
      <c r="R90" s="244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60" t="s">
        <v>535</v>
      </c>
      <c r="AU90" s="120"/>
      <c r="AV90" s="120"/>
      <c r="AW90" s="120"/>
      <c r="AX90" s="120"/>
      <c r="AY90" s="120"/>
      <c r="AZ90" s="120"/>
      <c r="BA90" s="120"/>
      <c r="BB90" s="120"/>
    </row>
    <row r="91" spans="1:54" ht="13.5">
      <c r="A91" s="120"/>
      <c r="B91" s="120"/>
      <c r="C91" s="120"/>
      <c r="D91" s="120"/>
      <c r="E91" s="120"/>
      <c r="F91" s="120"/>
      <c r="G91" s="120"/>
      <c r="H91" s="120"/>
      <c r="I91" s="120"/>
      <c r="J91" s="243"/>
      <c r="K91" s="160"/>
      <c r="L91" s="160"/>
      <c r="M91" s="160"/>
      <c r="N91" s="160"/>
      <c r="O91" s="160"/>
      <c r="P91" s="189"/>
      <c r="Q91" s="160"/>
      <c r="R91" s="244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60"/>
      <c r="AU91" s="120" t="s">
        <v>4</v>
      </c>
      <c r="AV91" s="120"/>
      <c r="AW91" s="120"/>
      <c r="AX91" s="120"/>
      <c r="AY91" s="254" t="s">
        <v>480</v>
      </c>
      <c r="AZ91" s="196" t="s">
        <v>557</v>
      </c>
      <c r="BA91" s="120"/>
      <c r="BB91" s="120"/>
    </row>
    <row r="92" spans="1:54" ht="12.75">
      <c r="A92" s="120"/>
      <c r="B92" s="120"/>
      <c r="C92" s="120" t="s">
        <v>194</v>
      </c>
      <c r="D92" s="120"/>
      <c r="E92" s="120"/>
      <c r="F92" s="120"/>
      <c r="G92" s="120"/>
      <c r="H92" s="120"/>
      <c r="I92" s="120"/>
      <c r="J92" s="243"/>
      <c r="K92" s="160"/>
      <c r="L92" s="160"/>
      <c r="M92" s="160"/>
      <c r="N92" s="160"/>
      <c r="O92" s="160"/>
      <c r="P92" s="189"/>
      <c r="Q92" s="160"/>
      <c r="R92" s="244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50" t="s">
        <v>108</v>
      </c>
      <c r="AU92" s="150"/>
      <c r="AV92" s="150"/>
      <c r="AW92" s="150"/>
      <c r="AX92" s="150"/>
      <c r="AY92" s="151"/>
      <c r="AZ92" s="96" t="s">
        <v>175</v>
      </c>
      <c r="BA92" s="96"/>
      <c r="BB92" s="96" t="s">
        <v>109</v>
      </c>
    </row>
    <row r="93" spans="1:54" ht="12.75">
      <c r="A93" s="120"/>
      <c r="B93" s="120"/>
      <c r="C93" s="120"/>
      <c r="D93" s="277" t="s">
        <v>614</v>
      </c>
      <c r="E93" s="277"/>
      <c r="F93" s="120"/>
      <c r="G93" s="120"/>
      <c r="H93" s="120"/>
      <c r="I93" s="120"/>
      <c r="J93" s="243"/>
      <c r="K93" s="160"/>
      <c r="L93" s="160"/>
      <c r="M93" s="160"/>
      <c r="N93" s="160"/>
      <c r="O93" s="160"/>
      <c r="P93" s="189"/>
      <c r="Q93" s="160"/>
      <c r="R93" s="244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273" t="s">
        <v>301</v>
      </c>
      <c r="AU93" s="150"/>
      <c r="AV93" s="150"/>
      <c r="AW93" s="150"/>
      <c r="AX93" s="150"/>
      <c r="AY93" s="151"/>
      <c r="AZ93" s="235">
        <v>58665</v>
      </c>
      <c r="BA93" s="199"/>
      <c r="BB93" s="299">
        <f>AZ93*BB58</f>
        <v>213772.20366681225</v>
      </c>
    </row>
    <row r="94" spans="1:54" ht="12.75">
      <c r="A94" s="120" t="s">
        <v>528</v>
      </c>
      <c r="B94" s="120"/>
      <c r="C94" s="120"/>
      <c r="D94" s="120"/>
      <c r="E94" s="120"/>
      <c r="F94" s="120"/>
      <c r="G94" s="120"/>
      <c r="H94" s="120"/>
      <c r="I94" s="120"/>
      <c r="J94" s="243"/>
      <c r="K94" s="160"/>
      <c r="L94" s="160"/>
      <c r="M94" s="160"/>
      <c r="N94" s="160"/>
      <c r="O94" s="160"/>
      <c r="P94" s="189"/>
      <c r="Q94" s="160"/>
      <c r="R94" s="244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273" t="s">
        <v>300</v>
      </c>
      <c r="AU94" s="150"/>
      <c r="AV94" s="150"/>
      <c r="AW94" s="150"/>
      <c r="AX94" s="150"/>
      <c r="AY94" s="151"/>
      <c r="AZ94" s="235">
        <f>AZ131-SUM(AZ112:AZ120)-AZ109-AZ103-AZ96-AZ95-AZ93</f>
        <v>3985949</v>
      </c>
      <c r="BA94" s="199"/>
      <c r="BB94" s="299">
        <f>AZ94*BB58</f>
        <v>14524590.495756015</v>
      </c>
    </row>
    <row r="95" spans="1:54" ht="12.75">
      <c r="A95" s="120" t="s">
        <v>196</v>
      </c>
      <c r="B95" s="120"/>
      <c r="C95" s="120"/>
      <c r="D95" s="120"/>
      <c r="E95" s="120"/>
      <c r="F95" s="120"/>
      <c r="G95" s="120"/>
      <c r="H95" s="120"/>
      <c r="I95" s="120"/>
      <c r="J95" s="243"/>
      <c r="K95" s="243"/>
      <c r="L95" s="160"/>
      <c r="M95" s="160"/>
      <c r="N95" s="160"/>
      <c r="O95" s="160"/>
      <c r="P95" s="189"/>
      <c r="Q95" s="160"/>
      <c r="R95" s="244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273" t="s">
        <v>537</v>
      </c>
      <c r="AU95" s="150"/>
      <c r="AV95" s="150"/>
      <c r="AW95" s="150"/>
      <c r="AX95" s="150"/>
      <c r="AY95" s="151"/>
      <c r="AZ95" s="235">
        <v>76467</v>
      </c>
      <c r="BA95" s="199"/>
      <c r="BB95" s="299">
        <f>AZ95*BB58</f>
        <v>278641.7642169971</v>
      </c>
    </row>
    <row r="96" spans="1:54" ht="12.75">
      <c r="A96" s="120" t="s">
        <v>198</v>
      </c>
      <c r="B96" s="120"/>
      <c r="C96" s="120"/>
      <c r="D96" s="120"/>
      <c r="E96" s="120"/>
      <c r="F96" s="120" t="s">
        <v>197</v>
      </c>
      <c r="G96" s="120"/>
      <c r="H96" s="120"/>
      <c r="I96" s="120"/>
      <c r="J96" s="243"/>
      <c r="K96" s="243"/>
      <c r="L96" s="160"/>
      <c r="M96" s="160"/>
      <c r="N96" s="160"/>
      <c r="O96" s="160"/>
      <c r="P96" s="189"/>
      <c r="Q96" s="160"/>
      <c r="R96" s="244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255" t="s">
        <v>85</v>
      </c>
      <c r="AU96" s="146"/>
      <c r="AV96" s="146"/>
      <c r="AW96" s="146"/>
      <c r="AX96" s="146"/>
      <c r="AY96" s="147"/>
      <c r="AZ96" s="300">
        <f>SUM(AZ97:AZ102)</f>
        <v>1079335</v>
      </c>
      <c r="BA96" s="202"/>
      <c r="BB96" s="299">
        <f>AZ96*BB58</f>
        <v>3933040.50873125</v>
      </c>
    </row>
    <row r="97" spans="1:54" ht="12.75">
      <c r="A97" s="143" t="s">
        <v>335</v>
      </c>
      <c r="B97" s="171" t="s">
        <v>199</v>
      </c>
      <c r="C97" s="143" t="s">
        <v>200</v>
      </c>
      <c r="D97" s="224" t="s">
        <v>286</v>
      </c>
      <c r="E97" s="225"/>
      <c r="F97" s="143" t="s">
        <v>201</v>
      </c>
      <c r="G97" s="143" t="s">
        <v>404</v>
      </c>
      <c r="H97" s="143" t="s">
        <v>202</v>
      </c>
      <c r="I97" s="143" t="s">
        <v>191</v>
      </c>
      <c r="J97" s="243"/>
      <c r="K97" s="243"/>
      <c r="L97" s="160"/>
      <c r="M97" s="160"/>
      <c r="N97" s="160"/>
      <c r="O97" s="160"/>
      <c r="P97" s="189"/>
      <c r="Q97" s="160"/>
      <c r="R97" s="244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59" t="s">
        <v>87</v>
      </c>
      <c r="AU97" s="160"/>
      <c r="AV97" s="160"/>
      <c r="AW97" s="160"/>
      <c r="AX97" s="160"/>
      <c r="AY97" s="161"/>
      <c r="AZ97" s="163">
        <v>348652</v>
      </c>
      <c r="BA97" s="181"/>
      <c r="BB97" s="299">
        <f>AZ97*BB58</f>
        <v>1270469.7239042262</v>
      </c>
    </row>
    <row r="98" spans="1:54" ht="12.75">
      <c r="A98" s="173"/>
      <c r="B98" s="173"/>
      <c r="C98" s="173"/>
      <c r="D98" s="143" t="s">
        <v>203</v>
      </c>
      <c r="E98" s="145" t="s">
        <v>204</v>
      </c>
      <c r="F98" s="173" t="s">
        <v>205</v>
      </c>
      <c r="G98" s="173" t="s">
        <v>190</v>
      </c>
      <c r="H98" s="173"/>
      <c r="I98" s="173" t="s">
        <v>206</v>
      </c>
      <c r="J98" s="243"/>
      <c r="K98" s="243"/>
      <c r="L98" s="160"/>
      <c r="M98" s="160"/>
      <c r="N98" s="160"/>
      <c r="O98" s="160"/>
      <c r="P98" s="189"/>
      <c r="Q98" s="160"/>
      <c r="R98" s="244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59" t="s">
        <v>88</v>
      </c>
      <c r="AU98" s="160"/>
      <c r="AV98" s="160"/>
      <c r="AW98" s="160"/>
      <c r="AX98" s="160"/>
      <c r="AY98" s="161"/>
      <c r="AZ98" s="163">
        <v>602546</v>
      </c>
      <c r="BA98" s="181"/>
      <c r="BB98" s="299">
        <f>AZ98*BB58</f>
        <v>2195646.2325172257</v>
      </c>
    </row>
    <row r="99" spans="1:54" ht="12.75">
      <c r="A99" s="144"/>
      <c r="B99" s="144"/>
      <c r="C99" s="144"/>
      <c r="D99" s="144" t="s">
        <v>207</v>
      </c>
      <c r="E99" s="103" t="s">
        <v>207</v>
      </c>
      <c r="F99" s="144" t="s">
        <v>208</v>
      </c>
      <c r="G99" s="144"/>
      <c r="H99" s="144"/>
      <c r="I99" s="144"/>
      <c r="J99" s="160"/>
      <c r="K99" s="160"/>
      <c r="L99" s="160"/>
      <c r="M99" s="160"/>
      <c r="N99" s="160"/>
      <c r="O99" s="160"/>
      <c r="P99" s="189"/>
      <c r="Q99" s="160"/>
      <c r="R99" s="244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59" t="s">
        <v>89</v>
      </c>
      <c r="AU99" s="160"/>
      <c r="AV99" s="160"/>
      <c r="AW99" s="160"/>
      <c r="AX99" s="160"/>
      <c r="AY99" s="161"/>
      <c r="AZ99" s="163">
        <v>124075</v>
      </c>
      <c r="BA99" s="181"/>
      <c r="BB99" s="299">
        <f>AZ99*BB58</f>
        <v>452122.8359321526</v>
      </c>
    </row>
    <row r="100" spans="1:54" ht="12.75">
      <c r="A100" s="152">
        <v>1</v>
      </c>
      <c r="B100" s="152">
        <v>2</v>
      </c>
      <c r="C100" s="152">
        <v>3</v>
      </c>
      <c r="D100" s="152">
        <v>4</v>
      </c>
      <c r="E100" s="152">
        <v>5</v>
      </c>
      <c r="F100" s="152">
        <v>6</v>
      </c>
      <c r="G100" s="152">
        <v>7</v>
      </c>
      <c r="H100" s="152">
        <v>8</v>
      </c>
      <c r="I100" s="152">
        <v>9</v>
      </c>
      <c r="J100" s="160"/>
      <c r="K100" s="160"/>
      <c r="L100" s="160"/>
      <c r="M100" s="160"/>
      <c r="N100" s="160"/>
      <c r="O100" s="160"/>
      <c r="P100" s="189"/>
      <c r="Q100" s="160"/>
      <c r="R100" s="244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59" t="s">
        <v>90</v>
      </c>
      <c r="AU100" s="160"/>
      <c r="AV100" s="160"/>
      <c r="AW100" s="160"/>
      <c r="AX100" s="160"/>
      <c r="AY100" s="161"/>
      <c r="AZ100" s="163">
        <v>350</v>
      </c>
      <c r="BA100" s="181"/>
      <c r="BB100" s="299">
        <f>AZ100*BB58</f>
        <v>1275.3817656760298</v>
      </c>
    </row>
    <row r="101" spans="1:54" ht="12.75">
      <c r="A101" s="103"/>
      <c r="B101" s="148"/>
      <c r="C101" s="320" t="s">
        <v>287</v>
      </c>
      <c r="D101" s="320"/>
      <c r="E101" s="148"/>
      <c r="F101" s="148"/>
      <c r="G101" s="148"/>
      <c r="H101" s="148"/>
      <c r="I101" s="149"/>
      <c r="J101" s="160"/>
      <c r="K101" s="160"/>
      <c r="L101" s="160"/>
      <c r="M101" s="160"/>
      <c r="N101" s="160"/>
      <c r="O101" s="160"/>
      <c r="P101" s="189"/>
      <c r="Q101" s="160"/>
      <c r="R101" s="244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59" t="s">
        <v>91</v>
      </c>
      <c r="AU101" s="160"/>
      <c r="AV101" s="160"/>
      <c r="AW101" s="160"/>
      <c r="AX101" s="160"/>
      <c r="AY101" s="161"/>
      <c r="AZ101" s="163">
        <v>2712</v>
      </c>
      <c r="BA101" s="181"/>
      <c r="BB101" s="299">
        <f>AZ101*BB58</f>
        <v>9882.386710038265</v>
      </c>
    </row>
    <row r="102" spans="1:54" ht="12.75">
      <c r="A102" s="96"/>
      <c r="B102" s="102" t="s">
        <v>526</v>
      </c>
      <c r="C102" s="150"/>
      <c r="D102" s="150"/>
      <c r="E102" s="150"/>
      <c r="F102" s="150"/>
      <c r="G102" s="150"/>
      <c r="H102" s="150"/>
      <c r="I102" s="151"/>
      <c r="J102" s="160"/>
      <c r="K102" s="160"/>
      <c r="L102" s="160"/>
      <c r="M102" s="160"/>
      <c r="N102" s="160"/>
      <c r="O102" s="160"/>
      <c r="P102" s="189"/>
      <c r="Q102" s="160"/>
      <c r="R102" s="244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03" t="s">
        <v>41</v>
      </c>
      <c r="AU102" s="148"/>
      <c r="AV102" s="148"/>
      <c r="AW102" s="148"/>
      <c r="AX102" s="148"/>
      <c r="AY102" s="149"/>
      <c r="AZ102" s="164">
        <v>1000</v>
      </c>
      <c r="BA102" s="191"/>
      <c r="BB102" s="299">
        <f>AZ102*BB58</f>
        <v>3643.9479019315136</v>
      </c>
    </row>
    <row r="103" spans="1:54" ht="12.75">
      <c r="A103" s="171">
        <v>1</v>
      </c>
      <c r="B103" s="143" t="s">
        <v>249</v>
      </c>
      <c r="C103" s="197">
        <v>804152757</v>
      </c>
      <c r="D103" s="230">
        <v>2460.7673</v>
      </c>
      <c r="E103" s="230">
        <v>2511.8236</v>
      </c>
      <c r="F103" s="155">
        <v>36000</v>
      </c>
      <c r="G103" s="252">
        <f>E103-D103</f>
        <v>51.05630000000019</v>
      </c>
      <c r="H103" s="96"/>
      <c r="I103" s="155">
        <f>F103*G103+H103</f>
        <v>1838026.8000000068</v>
      </c>
      <c r="J103" s="160"/>
      <c r="K103" s="160"/>
      <c r="L103" s="160"/>
      <c r="M103" s="160"/>
      <c r="N103" s="160"/>
      <c r="O103" s="160"/>
      <c r="P103" s="189"/>
      <c r="Q103" s="160"/>
      <c r="R103" s="244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255" t="s">
        <v>303</v>
      </c>
      <c r="AU103" s="146"/>
      <c r="AV103" s="146"/>
      <c r="AW103" s="146"/>
      <c r="AX103" s="146"/>
      <c r="AY103" s="147"/>
      <c r="AZ103" s="300">
        <f>SUM(AZ104:AZ108)</f>
        <v>15360</v>
      </c>
      <c r="BA103" s="202"/>
      <c r="BB103" s="299">
        <f>AZ103*BB58</f>
        <v>55971.03977366805</v>
      </c>
    </row>
    <row r="104" spans="1:54" ht="12.75">
      <c r="A104" s="144"/>
      <c r="B104" s="103" t="s">
        <v>250</v>
      </c>
      <c r="C104" s="213">
        <v>109054169</v>
      </c>
      <c r="D104" s="230">
        <v>3040.5376</v>
      </c>
      <c r="E104" s="230">
        <v>3090.4663</v>
      </c>
      <c r="F104" s="155">
        <v>36000</v>
      </c>
      <c r="G104" s="252">
        <f>E104-D104</f>
        <v>49.928699999999935</v>
      </c>
      <c r="H104" s="96"/>
      <c r="I104" s="155">
        <f>F104*G104+H104</f>
        <v>1797433.1999999976</v>
      </c>
      <c r="J104" s="160"/>
      <c r="K104" s="160"/>
      <c r="L104" s="188"/>
      <c r="M104" s="188"/>
      <c r="N104" s="160"/>
      <c r="O104" s="160"/>
      <c r="P104" s="189"/>
      <c r="Q104" s="160"/>
      <c r="R104" s="244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59"/>
      <c r="AU104" s="160" t="s">
        <v>389</v>
      </c>
      <c r="AV104" s="160"/>
      <c r="AW104" s="160"/>
      <c r="AX104" s="160"/>
      <c r="AY104" s="161"/>
      <c r="AZ104" s="163">
        <v>2960</v>
      </c>
      <c r="BA104" s="181"/>
      <c r="BB104" s="299">
        <f>AZ104*BB58</f>
        <v>10786.085789717281</v>
      </c>
    </row>
    <row r="105" spans="1:54" ht="12.75">
      <c r="A105" s="102"/>
      <c r="B105" s="150"/>
      <c r="C105" s="148"/>
      <c r="D105" s="150"/>
      <c r="E105" s="150"/>
      <c r="F105" s="214" t="s">
        <v>212</v>
      </c>
      <c r="G105" s="150"/>
      <c r="H105" s="151"/>
      <c r="I105" s="155">
        <f>I103+I104</f>
        <v>3635460.0000000047</v>
      </c>
      <c r="J105" s="160"/>
      <c r="K105" s="160"/>
      <c r="L105" s="160"/>
      <c r="M105" s="160"/>
      <c r="N105" s="160"/>
      <c r="O105" s="160"/>
      <c r="P105" s="190"/>
      <c r="Q105" s="160"/>
      <c r="R105" s="16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59" t="s">
        <v>385</v>
      </c>
      <c r="AU105" s="160"/>
      <c r="AV105" s="160" t="s">
        <v>304</v>
      </c>
      <c r="AW105" s="160"/>
      <c r="AX105" s="160"/>
      <c r="AY105" s="161"/>
      <c r="AZ105" s="163">
        <v>4880</v>
      </c>
      <c r="BA105" s="181"/>
      <c r="BB105" s="299">
        <f>AZ105*BB58</f>
        <v>17782.46576142579</v>
      </c>
    </row>
    <row r="106" spans="1:54" ht="12.75">
      <c r="A106" s="96" t="s">
        <v>213</v>
      </c>
      <c r="B106" s="102" t="s">
        <v>214</v>
      </c>
      <c r="C106" s="150"/>
      <c r="D106" s="150"/>
      <c r="E106" s="150"/>
      <c r="F106" s="150"/>
      <c r="G106" s="150"/>
      <c r="H106" s="150"/>
      <c r="I106" s="151"/>
      <c r="J106" s="160"/>
      <c r="K106" s="160"/>
      <c r="L106" s="160"/>
      <c r="M106" s="160"/>
      <c r="N106" s="160"/>
      <c r="O106" s="160"/>
      <c r="P106" s="190"/>
      <c r="Q106" s="160"/>
      <c r="R106" s="16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59" t="s">
        <v>385</v>
      </c>
      <c r="AU106" s="160"/>
      <c r="AV106" s="160" t="s">
        <v>390</v>
      </c>
      <c r="AW106" s="160"/>
      <c r="AX106" s="160"/>
      <c r="AY106" s="161"/>
      <c r="AZ106" s="163">
        <v>0</v>
      </c>
      <c r="BA106" s="181"/>
      <c r="BB106" s="299">
        <f>AZ106*BB58</f>
        <v>0</v>
      </c>
    </row>
    <row r="107" spans="1:54" ht="12.75">
      <c r="A107" s="96" t="s">
        <v>215</v>
      </c>
      <c r="B107" s="96" t="s">
        <v>216</v>
      </c>
      <c r="C107" s="213">
        <v>109053225</v>
      </c>
      <c r="D107" s="230">
        <v>7668.9108</v>
      </c>
      <c r="E107" s="230">
        <v>7743.7182</v>
      </c>
      <c r="F107" s="155">
        <v>21000</v>
      </c>
      <c r="G107" s="252">
        <f>E107-D107</f>
        <v>74.8074000000006</v>
      </c>
      <c r="H107" s="96"/>
      <c r="I107" s="155">
        <f>F107*G107+H107</f>
        <v>1570955.4000000125</v>
      </c>
      <c r="J107" s="160"/>
      <c r="K107" s="160"/>
      <c r="L107" s="160"/>
      <c r="M107" s="160"/>
      <c r="N107" s="160"/>
      <c r="O107" s="160"/>
      <c r="P107" s="190"/>
      <c r="Q107" s="160"/>
      <c r="R107" s="16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60"/>
      <c r="AU107" s="160"/>
      <c r="AV107" s="160" t="s">
        <v>391</v>
      </c>
      <c r="AW107" s="160"/>
      <c r="AX107" s="160"/>
      <c r="AY107" s="160"/>
      <c r="AZ107" s="163">
        <v>380</v>
      </c>
      <c r="BA107" s="168"/>
      <c r="BB107" s="299">
        <f>AZ107*BB58</f>
        <v>1384.7002027339752</v>
      </c>
    </row>
    <row r="108" spans="1:54" ht="12.75">
      <c r="A108" s="96" t="s">
        <v>521</v>
      </c>
      <c r="B108" s="150" t="s">
        <v>524</v>
      </c>
      <c r="C108" s="148"/>
      <c r="D108" s="150"/>
      <c r="E108" s="150"/>
      <c r="F108" s="214"/>
      <c r="G108" s="150"/>
      <c r="H108" s="151"/>
      <c r="I108" s="155"/>
      <c r="J108" s="160"/>
      <c r="K108" s="160"/>
      <c r="L108" s="160"/>
      <c r="M108" s="160"/>
      <c r="N108" s="160"/>
      <c r="O108" s="160"/>
      <c r="P108" s="190"/>
      <c r="Q108" s="160"/>
      <c r="R108" s="16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03" t="s">
        <v>155</v>
      </c>
      <c r="AU108" s="148"/>
      <c r="AV108" s="208"/>
      <c r="AW108" s="208"/>
      <c r="AX108" s="148"/>
      <c r="AY108" s="149"/>
      <c r="AZ108" s="164">
        <v>7140</v>
      </c>
      <c r="BA108" s="191"/>
      <c r="BB108" s="299">
        <f>AZ108*BB58</f>
        <v>26017.78801979101</v>
      </c>
    </row>
    <row r="109" spans="1:54" ht="12.75">
      <c r="A109" s="96" t="s">
        <v>522</v>
      </c>
      <c r="B109" s="102" t="s">
        <v>525</v>
      </c>
      <c r="C109" s="150"/>
      <c r="D109" s="150"/>
      <c r="E109" s="150"/>
      <c r="F109" s="150"/>
      <c r="G109" s="150"/>
      <c r="H109" s="151"/>
      <c r="I109" s="280"/>
      <c r="J109" s="160"/>
      <c r="K109" s="160"/>
      <c r="L109" s="160"/>
      <c r="M109" s="160"/>
      <c r="N109" s="160"/>
      <c r="O109" s="160"/>
      <c r="P109" s="190"/>
      <c r="Q109" s="160"/>
      <c r="R109" s="244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255" t="s">
        <v>536</v>
      </c>
      <c r="AU109" s="146"/>
      <c r="AV109" s="146"/>
      <c r="AW109" s="146"/>
      <c r="AX109" s="146"/>
      <c r="AY109" s="147"/>
      <c r="AZ109" s="300">
        <f>AZ110+AZ111</f>
        <v>184830</v>
      </c>
      <c r="BA109" s="202"/>
      <c r="BB109" s="299">
        <f>AZ109*BB58</f>
        <v>673510.8907140017</v>
      </c>
    </row>
    <row r="110" spans="1:54" ht="12.75">
      <c r="A110" s="102" t="s">
        <v>523</v>
      </c>
      <c r="B110" s="102"/>
      <c r="C110" s="371"/>
      <c r="D110" s="372"/>
      <c r="E110" s="372"/>
      <c r="F110" s="373"/>
      <c r="G110" s="374"/>
      <c r="H110" s="151"/>
      <c r="I110" s="280"/>
      <c r="J110" s="160"/>
      <c r="K110" s="160"/>
      <c r="L110" s="160"/>
      <c r="M110" s="160"/>
      <c r="N110" s="160"/>
      <c r="O110" s="160"/>
      <c r="P110" s="190"/>
      <c r="Q110" s="160"/>
      <c r="R110" s="16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59" t="s">
        <v>93</v>
      </c>
      <c r="AU110" s="160"/>
      <c r="AV110" s="160"/>
      <c r="AW110" s="160"/>
      <c r="AX110" s="160"/>
      <c r="AY110" s="161"/>
      <c r="AZ110" s="163">
        <v>9560</v>
      </c>
      <c r="BA110" s="181"/>
      <c r="BB110" s="299">
        <f>AZ110*BB58</f>
        <v>34836.14194246527</v>
      </c>
    </row>
    <row r="111" spans="1:54" ht="12.75">
      <c r="A111" s="96" t="s">
        <v>219</v>
      </c>
      <c r="B111" s="102" t="s">
        <v>220</v>
      </c>
      <c r="C111" s="150"/>
      <c r="D111" s="150"/>
      <c r="E111" s="150"/>
      <c r="F111" s="150"/>
      <c r="G111" s="150"/>
      <c r="H111" s="150"/>
      <c r="I111" s="151"/>
      <c r="J111" s="160"/>
      <c r="K111" s="160"/>
      <c r="L111" s="160"/>
      <c r="M111" s="160"/>
      <c r="N111" s="160"/>
      <c r="O111" s="160"/>
      <c r="P111" s="160"/>
      <c r="Q111" s="160"/>
      <c r="R111" s="16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03" t="s">
        <v>94</v>
      </c>
      <c r="AU111" s="148"/>
      <c r="AV111" s="148"/>
      <c r="AW111" s="148"/>
      <c r="AX111" s="148"/>
      <c r="AY111" s="149"/>
      <c r="AZ111" s="164">
        <v>175270</v>
      </c>
      <c r="BA111" s="191"/>
      <c r="BB111" s="299">
        <f>AZ111*BB58</f>
        <v>638674.7487715364</v>
      </c>
    </row>
    <row r="112" spans="1:54" ht="12.75">
      <c r="A112" s="143" t="s">
        <v>221</v>
      </c>
      <c r="B112" s="143" t="s">
        <v>224</v>
      </c>
      <c r="C112" s="197"/>
      <c r="D112" s="171"/>
      <c r="E112" s="171"/>
      <c r="F112" s="175"/>
      <c r="G112" s="171"/>
      <c r="H112" s="171"/>
      <c r="I112" s="171"/>
      <c r="J112" s="160"/>
      <c r="K112" s="160"/>
      <c r="L112" s="160"/>
      <c r="M112" s="160"/>
      <c r="N112" s="160"/>
      <c r="O112" s="160"/>
      <c r="P112" s="160"/>
      <c r="Q112" s="160"/>
      <c r="R112" s="16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273" t="s">
        <v>392</v>
      </c>
      <c r="AU112" s="150"/>
      <c r="AV112" s="150"/>
      <c r="AW112" s="150"/>
      <c r="AX112" s="150"/>
      <c r="AY112" s="151"/>
      <c r="AZ112" s="235">
        <v>18620</v>
      </c>
      <c r="BA112" s="199"/>
      <c r="BB112" s="299">
        <f>AZ112*BB58</f>
        <v>67850.30993396479</v>
      </c>
    </row>
    <row r="113" spans="1:54" ht="12.75">
      <c r="A113" s="144"/>
      <c r="B113" s="144" t="s">
        <v>222</v>
      </c>
      <c r="C113" s="198">
        <v>109056121</v>
      </c>
      <c r="D113" s="323">
        <v>6581.2382</v>
      </c>
      <c r="E113" s="323">
        <v>6612.8944</v>
      </c>
      <c r="F113" s="164">
        <v>4800</v>
      </c>
      <c r="G113" s="324">
        <f aca="true" t="shared" si="2" ref="G113:G132">E113-D113</f>
        <v>31.656200000000354</v>
      </c>
      <c r="H113" s="164"/>
      <c r="I113" s="164">
        <f>F113*G113+H113</f>
        <v>151949.7600000017</v>
      </c>
      <c r="J113" s="160"/>
      <c r="K113" s="160"/>
      <c r="L113" s="160"/>
      <c r="M113" s="160"/>
      <c r="N113" s="160"/>
      <c r="O113" s="160"/>
      <c r="P113" s="160"/>
      <c r="Q113" s="160"/>
      <c r="R113" s="16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273" t="s">
        <v>154</v>
      </c>
      <c r="AU113" s="150"/>
      <c r="AV113" s="150"/>
      <c r="AW113" s="150"/>
      <c r="AX113" s="150"/>
      <c r="AY113" s="151"/>
      <c r="AZ113" s="235">
        <v>25720</v>
      </c>
      <c r="BA113" s="199"/>
      <c r="BB113" s="299">
        <f>AZ113*BB58</f>
        <v>93722.34003767853</v>
      </c>
    </row>
    <row r="114" spans="1:54" ht="12.75">
      <c r="A114" s="143" t="s">
        <v>223</v>
      </c>
      <c r="B114" s="143" t="s">
        <v>235</v>
      </c>
      <c r="C114" s="197">
        <v>623125232</v>
      </c>
      <c r="D114" s="325">
        <v>3004.4408</v>
      </c>
      <c r="E114" s="325">
        <v>3004.4408</v>
      </c>
      <c r="F114" s="175">
        <v>1800</v>
      </c>
      <c r="G114" s="326">
        <f t="shared" si="2"/>
        <v>0</v>
      </c>
      <c r="H114" s="171"/>
      <c r="I114" s="175">
        <f>G114*F114</f>
        <v>0</v>
      </c>
      <c r="J114" s="160"/>
      <c r="K114" s="160"/>
      <c r="L114" s="160"/>
      <c r="M114" s="160"/>
      <c r="N114" s="160"/>
      <c r="O114" s="160"/>
      <c r="P114" s="160"/>
      <c r="Q114" s="160"/>
      <c r="R114" s="16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273" t="s">
        <v>362</v>
      </c>
      <c r="AU114" s="150"/>
      <c r="AV114" s="150"/>
      <c r="AW114" s="150"/>
      <c r="AX114" s="150"/>
      <c r="AY114" s="151"/>
      <c r="AZ114" s="235">
        <v>14199</v>
      </c>
      <c r="BA114" s="199"/>
      <c r="BB114" s="299">
        <f>AZ114*BB58</f>
        <v>51740.41625952556</v>
      </c>
    </row>
    <row r="115" spans="1:54" ht="12.75">
      <c r="A115" s="144"/>
      <c r="B115" s="144" t="s">
        <v>222</v>
      </c>
      <c r="C115" s="169"/>
      <c r="D115" s="228"/>
      <c r="E115" s="228"/>
      <c r="F115" s="164"/>
      <c r="G115" s="227"/>
      <c r="H115" s="169"/>
      <c r="I115" s="164"/>
      <c r="J115" s="160"/>
      <c r="K115" s="160"/>
      <c r="L115" s="160"/>
      <c r="M115" s="160"/>
      <c r="N115" s="160"/>
      <c r="O115" s="160"/>
      <c r="P115" s="160"/>
      <c r="Q115" s="160"/>
      <c r="R115" s="16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273" t="s">
        <v>297</v>
      </c>
      <c r="AU115" s="150"/>
      <c r="AV115" s="150"/>
      <c r="AW115" s="150"/>
      <c r="AX115" s="150"/>
      <c r="AY115" s="151"/>
      <c r="AZ115" s="235">
        <v>3520</v>
      </c>
      <c r="BA115" s="199"/>
      <c r="BB115" s="299">
        <f>AZ115*BB58</f>
        <v>12826.696614798928</v>
      </c>
    </row>
    <row r="116" spans="1:54" ht="12.75">
      <c r="A116" s="143" t="s">
        <v>225</v>
      </c>
      <c r="B116" s="143" t="s">
        <v>236</v>
      </c>
      <c r="C116" s="197">
        <v>623125667</v>
      </c>
      <c r="D116" s="325">
        <v>3857.645</v>
      </c>
      <c r="E116" s="325">
        <v>3941.0549</v>
      </c>
      <c r="F116" s="175">
        <v>1800</v>
      </c>
      <c r="G116" s="326">
        <f t="shared" si="2"/>
        <v>83.4099000000001</v>
      </c>
      <c r="H116" s="171"/>
      <c r="I116" s="175">
        <f>G116*F116</f>
        <v>150137.82000000018</v>
      </c>
      <c r="J116" s="160"/>
      <c r="K116" s="160"/>
      <c r="L116" s="160"/>
      <c r="M116" s="160"/>
      <c r="N116" s="160"/>
      <c r="O116" s="160"/>
      <c r="P116" s="160"/>
      <c r="Q116" s="160"/>
      <c r="R116" s="16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273" t="s">
        <v>6</v>
      </c>
      <c r="AU116" s="150"/>
      <c r="AV116" s="150"/>
      <c r="AW116" s="150"/>
      <c r="AX116" s="150"/>
      <c r="AY116" s="151"/>
      <c r="AZ116" s="235">
        <v>40000</v>
      </c>
      <c r="BA116" s="199"/>
      <c r="BB116" s="299">
        <f>AZ116*BB58</f>
        <v>145757.91607726054</v>
      </c>
    </row>
    <row r="117" spans="1:54" ht="12.75">
      <c r="A117" s="144"/>
      <c r="B117" s="144" t="s">
        <v>222</v>
      </c>
      <c r="C117" s="169"/>
      <c r="D117" s="228"/>
      <c r="E117" s="228"/>
      <c r="F117" s="164"/>
      <c r="G117" s="227"/>
      <c r="H117" s="169"/>
      <c r="I117" s="164"/>
      <c r="J117" s="160"/>
      <c r="K117" s="160"/>
      <c r="L117" s="160"/>
      <c r="M117" s="160"/>
      <c r="N117" s="160"/>
      <c r="O117" s="160"/>
      <c r="P117" s="160"/>
      <c r="Q117" s="160"/>
      <c r="R117" s="16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273" t="s">
        <v>21</v>
      </c>
      <c r="AU117" s="214"/>
      <c r="AV117" s="150"/>
      <c r="AW117" s="150"/>
      <c r="AX117" s="150"/>
      <c r="AY117" s="151"/>
      <c r="AZ117" s="235">
        <v>12000</v>
      </c>
      <c r="BA117" s="199"/>
      <c r="BB117" s="299">
        <f>AZ117*BB58</f>
        <v>43727.374823178165</v>
      </c>
    </row>
    <row r="118" spans="1:54" ht="12.75">
      <c r="A118" s="143" t="s">
        <v>226</v>
      </c>
      <c r="B118" s="143" t="s">
        <v>237</v>
      </c>
      <c r="C118" s="197">
        <v>623126370</v>
      </c>
      <c r="D118" s="325">
        <v>765.0739</v>
      </c>
      <c r="E118" s="325">
        <v>781.4214</v>
      </c>
      <c r="F118" s="175">
        <v>4800</v>
      </c>
      <c r="G118" s="326">
        <f t="shared" si="2"/>
        <v>16.347499999999968</v>
      </c>
      <c r="H118" s="171"/>
      <c r="I118" s="175">
        <f>G118*F118</f>
        <v>78467.99999999985</v>
      </c>
      <c r="J118" s="160"/>
      <c r="K118" s="160"/>
      <c r="L118" s="160"/>
      <c r="M118" s="160"/>
      <c r="N118" s="160"/>
      <c r="O118" s="160"/>
      <c r="P118" s="160"/>
      <c r="Q118" s="160"/>
      <c r="R118" s="16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273" t="s">
        <v>388</v>
      </c>
      <c r="AU118" s="214"/>
      <c r="AV118" s="150"/>
      <c r="AW118" s="150"/>
      <c r="AX118" s="150"/>
      <c r="AY118" s="151"/>
      <c r="AZ118" s="235">
        <v>50</v>
      </c>
      <c r="BA118" s="199"/>
      <c r="BB118" s="299">
        <f>AZ118*BB58</f>
        <v>182.1973950965757</v>
      </c>
    </row>
    <row r="119" spans="1:54" ht="12.75">
      <c r="A119" s="144"/>
      <c r="B119" s="144" t="s">
        <v>222</v>
      </c>
      <c r="C119" s="169"/>
      <c r="D119" s="228"/>
      <c r="E119" s="228"/>
      <c r="F119" s="164"/>
      <c r="G119" s="227"/>
      <c r="H119" s="169"/>
      <c r="I119" s="164"/>
      <c r="J119" s="160"/>
      <c r="K119" s="160"/>
      <c r="L119" s="160"/>
      <c r="M119" s="160"/>
      <c r="N119" s="160"/>
      <c r="O119" s="160"/>
      <c r="P119" s="160"/>
      <c r="Q119" s="160"/>
      <c r="R119" s="16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273" t="s">
        <v>365</v>
      </c>
      <c r="AU119" s="214"/>
      <c r="AV119" s="150"/>
      <c r="AW119" s="150"/>
      <c r="AX119" s="150"/>
      <c r="AY119" s="151"/>
      <c r="AZ119" s="235">
        <v>62000</v>
      </c>
      <c r="BA119" s="199"/>
      <c r="BB119" s="299">
        <f>AZ119*BB58</f>
        <v>225924.76991975386</v>
      </c>
    </row>
    <row r="120" spans="1:54" ht="12.75">
      <c r="A120" s="143" t="s">
        <v>227</v>
      </c>
      <c r="B120" s="143" t="s">
        <v>238</v>
      </c>
      <c r="C120" s="197">
        <v>623125137</v>
      </c>
      <c r="D120" s="325">
        <v>695.661</v>
      </c>
      <c r="E120" s="325">
        <v>695.661</v>
      </c>
      <c r="F120" s="175">
        <v>4800</v>
      </c>
      <c r="G120" s="326">
        <f t="shared" si="2"/>
        <v>0</v>
      </c>
      <c r="H120" s="171"/>
      <c r="I120" s="175">
        <f>G120*F120</f>
        <v>0</v>
      </c>
      <c r="J120" s="160"/>
      <c r="K120" s="160"/>
      <c r="L120" s="160"/>
      <c r="M120" s="160"/>
      <c r="N120" s="160"/>
      <c r="O120" s="160"/>
      <c r="P120" s="160"/>
      <c r="Q120" s="160"/>
      <c r="R120" s="16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273"/>
      <c r="AU120" s="214"/>
      <c r="AV120" s="150"/>
      <c r="AW120" s="150"/>
      <c r="AX120" s="150"/>
      <c r="AY120" s="151"/>
      <c r="AZ120" s="235"/>
      <c r="BA120" s="199"/>
      <c r="BB120" s="299"/>
    </row>
    <row r="121" spans="1:54" ht="12.75">
      <c r="A121" s="144"/>
      <c r="B121" s="144" t="s">
        <v>222</v>
      </c>
      <c r="C121" s="169"/>
      <c r="D121" s="228"/>
      <c r="E121" s="228"/>
      <c r="F121" s="164"/>
      <c r="G121" s="227"/>
      <c r="H121" s="169"/>
      <c r="I121" s="164"/>
      <c r="J121" s="160"/>
      <c r="K121" s="160"/>
      <c r="L121" s="160"/>
      <c r="M121" s="160"/>
      <c r="N121" s="160"/>
      <c r="O121" s="160"/>
      <c r="P121" s="160"/>
      <c r="Q121" s="160"/>
      <c r="R121" s="16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02"/>
      <c r="AU121" s="150"/>
      <c r="AV121" s="150"/>
      <c r="AW121" s="150"/>
      <c r="AX121" s="150"/>
      <c r="AY121" s="151"/>
      <c r="AZ121" s="235"/>
      <c r="BA121" s="199"/>
      <c r="BB121" s="299"/>
    </row>
    <row r="122" spans="1:54" ht="12.75">
      <c r="A122" s="143" t="s">
        <v>228</v>
      </c>
      <c r="B122" s="143" t="s">
        <v>239</v>
      </c>
      <c r="C122" s="197">
        <v>623125142</v>
      </c>
      <c r="D122" s="325">
        <v>2580.6454</v>
      </c>
      <c r="E122" s="325">
        <v>2618.9311</v>
      </c>
      <c r="F122" s="175">
        <v>2400</v>
      </c>
      <c r="G122" s="326">
        <f t="shared" si="2"/>
        <v>38.285699999999906</v>
      </c>
      <c r="H122" s="171"/>
      <c r="I122" s="175">
        <f>G122*F122</f>
        <v>91885.67999999977</v>
      </c>
      <c r="J122" s="160"/>
      <c r="K122" s="160"/>
      <c r="L122" s="160"/>
      <c r="M122" s="160"/>
      <c r="N122" s="160"/>
      <c r="O122" s="160"/>
      <c r="P122" s="160"/>
      <c r="Q122" s="160"/>
      <c r="R122" s="16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02"/>
      <c r="AU122" s="150"/>
      <c r="AV122" s="150"/>
      <c r="AW122" s="150"/>
      <c r="AX122" s="150"/>
      <c r="AY122" s="151"/>
      <c r="AZ122" s="235"/>
      <c r="BA122" s="199"/>
      <c r="BB122" s="299"/>
    </row>
    <row r="123" spans="1:54" ht="12.75">
      <c r="A123" s="144"/>
      <c r="B123" s="144" t="s">
        <v>222</v>
      </c>
      <c r="C123" s="169"/>
      <c r="D123" s="228"/>
      <c r="E123" s="228"/>
      <c r="F123" s="164"/>
      <c r="G123" s="227"/>
      <c r="H123" s="169"/>
      <c r="I123" s="164"/>
      <c r="J123" s="160"/>
      <c r="K123" s="160"/>
      <c r="L123" s="160"/>
      <c r="M123" s="160"/>
      <c r="N123" s="160"/>
      <c r="O123" s="160"/>
      <c r="P123" s="160"/>
      <c r="Q123" s="160"/>
      <c r="R123" s="16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02"/>
      <c r="AU123" s="150"/>
      <c r="AV123" s="150"/>
      <c r="AW123" s="150"/>
      <c r="AX123" s="150"/>
      <c r="AY123" s="151"/>
      <c r="AZ123" s="235"/>
      <c r="BA123" s="199"/>
      <c r="BB123" s="299"/>
    </row>
    <row r="124" spans="1:54" ht="12.75">
      <c r="A124" s="143" t="s">
        <v>229</v>
      </c>
      <c r="B124" s="143" t="s">
        <v>240</v>
      </c>
      <c r="C124" s="197">
        <v>623125205</v>
      </c>
      <c r="D124" s="325">
        <v>2068.4945</v>
      </c>
      <c r="E124" s="325">
        <v>2112.8001</v>
      </c>
      <c r="F124" s="175">
        <v>1800</v>
      </c>
      <c r="G124" s="326">
        <f t="shared" si="2"/>
        <v>44.30560000000014</v>
      </c>
      <c r="H124" s="171"/>
      <c r="I124" s="175">
        <f>G124*F124</f>
        <v>79750.08000000025</v>
      </c>
      <c r="J124" s="160"/>
      <c r="K124" s="160"/>
      <c r="L124" s="160"/>
      <c r="M124" s="160"/>
      <c r="N124" s="160"/>
      <c r="O124" s="160"/>
      <c r="P124" s="160"/>
      <c r="Q124" s="160"/>
      <c r="R124" s="16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02"/>
      <c r="AU124" s="150"/>
      <c r="AV124" s="150"/>
      <c r="AW124" s="150"/>
      <c r="AX124" s="150"/>
      <c r="AY124" s="151"/>
      <c r="AZ124" s="235"/>
      <c r="BA124" s="199"/>
      <c r="BB124" s="299"/>
    </row>
    <row r="125" spans="1:54" ht="12.75">
      <c r="A125" s="144"/>
      <c r="B125" s="144" t="s">
        <v>222</v>
      </c>
      <c r="C125" s="169"/>
      <c r="D125" s="228"/>
      <c r="E125" s="228"/>
      <c r="F125" s="164"/>
      <c r="G125" s="227"/>
      <c r="H125" s="169"/>
      <c r="I125" s="164"/>
      <c r="J125" s="160"/>
      <c r="K125" s="160"/>
      <c r="L125" s="160"/>
      <c r="M125" s="160"/>
      <c r="N125" s="160"/>
      <c r="O125" s="160"/>
      <c r="P125" s="160"/>
      <c r="Q125" s="160"/>
      <c r="R125" s="16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02"/>
      <c r="AU125" s="150"/>
      <c r="AV125" s="150"/>
      <c r="AW125" s="150"/>
      <c r="AX125" s="150"/>
      <c r="AY125" s="151"/>
      <c r="AZ125" s="235"/>
      <c r="BA125" s="199"/>
      <c r="BB125" s="299"/>
    </row>
    <row r="126" spans="1:54" ht="12.75">
      <c r="A126" s="143" t="s">
        <v>230</v>
      </c>
      <c r="B126" s="143" t="s">
        <v>241</v>
      </c>
      <c r="C126" s="197">
        <v>623123704</v>
      </c>
      <c r="D126" s="325">
        <v>2513.7621</v>
      </c>
      <c r="E126" s="325">
        <v>2571.7313</v>
      </c>
      <c r="F126" s="175">
        <v>1800</v>
      </c>
      <c r="G126" s="326">
        <f t="shared" si="2"/>
        <v>57.9692</v>
      </c>
      <c r="H126" s="171"/>
      <c r="I126" s="175">
        <f>G126*F126</f>
        <v>104344.56</v>
      </c>
      <c r="J126" s="160"/>
      <c r="K126" s="160"/>
      <c r="L126" s="160"/>
      <c r="M126" s="160"/>
      <c r="N126" s="160"/>
      <c r="O126" s="160"/>
      <c r="P126" s="160"/>
      <c r="Q126" s="160"/>
      <c r="R126" s="16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02"/>
      <c r="AU126" s="150"/>
      <c r="AV126" s="219"/>
      <c r="AW126" s="219"/>
      <c r="AX126" s="150"/>
      <c r="AY126" s="151"/>
      <c r="AZ126" s="235"/>
      <c r="BA126" s="199"/>
      <c r="BB126" s="299"/>
    </row>
    <row r="127" spans="1:54" ht="12.75">
      <c r="A127" s="144"/>
      <c r="B127" s="144" t="s">
        <v>222</v>
      </c>
      <c r="C127" s="169"/>
      <c r="D127" s="228"/>
      <c r="E127" s="228"/>
      <c r="F127" s="164"/>
      <c r="G127" s="227"/>
      <c r="H127" s="169"/>
      <c r="I127" s="164"/>
      <c r="J127" s="160"/>
      <c r="K127" s="160"/>
      <c r="L127" s="160"/>
      <c r="M127" s="160"/>
      <c r="N127" s="160"/>
      <c r="O127" s="160"/>
      <c r="P127" s="160"/>
      <c r="Q127" s="160"/>
      <c r="R127" s="16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60"/>
      <c r="AU127" s="120"/>
      <c r="AV127" s="120"/>
      <c r="AW127" s="120"/>
      <c r="AX127" s="120"/>
      <c r="AY127" s="120"/>
      <c r="AZ127" s="274"/>
      <c r="BA127" s="120"/>
      <c r="BB127" s="120"/>
    </row>
    <row r="128" spans="1:54" ht="12.75">
      <c r="A128" s="143" t="s">
        <v>231</v>
      </c>
      <c r="B128" s="143" t="s">
        <v>242</v>
      </c>
      <c r="C128" s="197">
        <v>623125794</v>
      </c>
      <c r="D128" s="325">
        <v>133.3565</v>
      </c>
      <c r="E128" s="325">
        <v>146.9266</v>
      </c>
      <c r="F128" s="175">
        <v>1800</v>
      </c>
      <c r="G128" s="326">
        <f>E128-D128</f>
        <v>13.570099999999996</v>
      </c>
      <c r="H128" s="171"/>
      <c r="I128" s="175">
        <f>G128*F128</f>
        <v>24426.179999999993</v>
      </c>
      <c r="J128" s="160"/>
      <c r="K128" s="160"/>
      <c r="L128" s="160"/>
      <c r="M128" s="160"/>
      <c r="N128" s="160"/>
      <c r="O128" s="160"/>
      <c r="P128" s="160"/>
      <c r="Q128" s="160"/>
      <c r="R128" s="16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60"/>
      <c r="AU128" s="120"/>
      <c r="AV128" s="120"/>
      <c r="AW128" s="120"/>
      <c r="AX128" s="120"/>
      <c r="AY128" s="120"/>
      <c r="AZ128" s="274"/>
      <c r="BA128" s="120"/>
      <c r="BB128" s="120"/>
    </row>
    <row r="129" spans="1:54" ht="12.75">
      <c r="A129" s="144"/>
      <c r="B129" s="144" t="s">
        <v>222</v>
      </c>
      <c r="C129" s="169"/>
      <c r="D129" s="228"/>
      <c r="E129" s="228"/>
      <c r="F129" s="164"/>
      <c r="G129" s="227"/>
      <c r="H129" s="169"/>
      <c r="I129" s="164"/>
      <c r="J129" s="160"/>
      <c r="K129" s="160"/>
      <c r="L129" s="160"/>
      <c r="M129" s="160"/>
      <c r="N129" s="160"/>
      <c r="O129" s="160"/>
      <c r="P129" s="160"/>
      <c r="Q129" s="160"/>
      <c r="R129" s="16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60"/>
      <c r="AU129" s="120"/>
      <c r="AV129" s="120"/>
      <c r="AW129" s="120"/>
      <c r="AX129" s="120"/>
      <c r="AY129" s="120"/>
      <c r="AZ129" s="274"/>
      <c r="BA129" s="120"/>
      <c r="BB129" s="120"/>
    </row>
    <row r="130" spans="1:54" ht="12.75">
      <c r="A130" s="143" t="s">
        <v>232</v>
      </c>
      <c r="B130" s="143" t="s">
        <v>243</v>
      </c>
      <c r="C130" s="197">
        <v>623125736</v>
      </c>
      <c r="D130" s="325">
        <v>3067.6701</v>
      </c>
      <c r="E130" s="325">
        <v>3111.4499</v>
      </c>
      <c r="F130" s="175">
        <v>1200</v>
      </c>
      <c r="G130" s="326">
        <f t="shared" si="2"/>
        <v>43.77980000000025</v>
      </c>
      <c r="H130" s="171"/>
      <c r="I130" s="175">
        <f>G130*F130</f>
        <v>52535.7600000003</v>
      </c>
      <c r="J130" s="160"/>
      <c r="K130" s="160"/>
      <c r="L130" s="160"/>
      <c r="M130" s="160"/>
      <c r="N130" s="160"/>
      <c r="O130" s="160"/>
      <c r="P130" s="160"/>
      <c r="Q130" s="160"/>
      <c r="R130" s="16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60"/>
      <c r="AU130" s="120"/>
      <c r="AV130" s="120"/>
      <c r="AW130" s="120"/>
      <c r="AX130" s="120"/>
      <c r="AY130" s="120"/>
      <c r="AZ130" s="274"/>
      <c r="BA130" s="120"/>
      <c r="BB130" s="120"/>
    </row>
    <row r="131" spans="1:54" ht="12.75">
      <c r="A131" s="144"/>
      <c r="B131" s="144" t="s">
        <v>222</v>
      </c>
      <c r="C131" s="168"/>
      <c r="D131" s="228"/>
      <c r="E131" s="228"/>
      <c r="F131" s="164"/>
      <c r="G131" s="227"/>
      <c r="H131" s="169"/>
      <c r="I131" s="164"/>
      <c r="J131" s="160"/>
      <c r="K131" s="160"/>
      <c r="L131" s="160"/>
      <c r="M131" s="160"/>
      <c r="N131" s="160"/>
      <c r="O131" s="160"/>
      <c r="P131" s="160"/>
      <c r="Q131" s="160"/>
      <c r="R131" s="16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60"/>
      <c r="AU131" s="120" t="s">
        <v>9</v>
      </c>
      <c r="AV131" s="120"/>
      <c r="AW131" s="120"/>
      <c r="AX131" s="120"/>
      <c r="AY131" s="120"/>
      <c r="AZ131" s="301">
        <f>AZ9</f>
        <v>5576715</v>
      </c>
      <c r="BA131" s="120"/>
      <c r="BB131" s="275">
        <f>SUM(BB93:BB96)+BB103+BB109+SUM(BB112:BB126)</f>
        <v>20321258.92392</v>
      </c>
    </row>
    <row r="132" spans="1:54" ht="12.75">
      <c r="A132" s="143" t="s">
        <v>233</v>
      </c>
      <c r="B132" s="145" t="s">
        <v>234</v>
      </c>
      <c r="C132" s="197">
        <v>1110171156</v>
      </c>
      <c r="D132" s="325">
        <v>1586.7468</v>
      </c>
      <c r="E132" s="325">
        <v>1632.7856</v>
      </c>
      <c r="F132" s="175">
        <v>40</v>
      </c>
      <c r="G132" s="326">
        <f t="shared" si="2"/>
        <v>46.03880000000004</v>
      </c>
      <c r="H132" s="171"/>
      <c r="I132" s="175">
        <f>G132*F132</f>
        <v>1841.5520000000015</v>
      </c>
      <c r="J132" s="160"/>
      <c r="K132" s="160"/>
      <c r="L132" s="160"/>
      <c r="M132" s="160"/>
      <c r="N132" s="160"/>
      <c r="O132" s="160"/>
      <c r="P132" s="160"/>
      <c r="Q132" s="160"/>
      <c r="R132" s="16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60"/>
      <c r="AU132" s="120"/>
      <c r="AV132" s="120"/>
      <c r="AW132" s="120"/>
      <c r="AX132" s="120"/>
      <c r="AY132" s="120"/>
      <c r="AZ132" s="274"/>
      <c r="BA132" s="120"/>
      <c r="BB132" s="120"/>
    </row>
    <row r="133" spans="1:54" ht="12.75">
      <c r="A133" s="144"/>
      <c r="B133" s="103" t="s">
        <v>222</v>
      </c>
      <c r="C133" s="169"/>
      <c r="D133" s="379"/>
      <c r="E133" s="228"/>
      <c r="F133" s="164"/>
      <c r="G133" s="229"/>
      <c r="H133" s="169"/>
      <c r="I133" s="164"/>
      <c r="J133" s="160"/>
      <c r="K133" s="160"/>
      <c r="L133" s="160"/>
      <c r="M133" s="160"/>
      <c r="N133" s="160"/>
      <c r="O133" s="160"/>
      <c r="P133" s="160"/>
      <c r="Q133" s="160"/>
      <c r="R133" s="16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60"/>
      <c r="AU133" s="120"/>
      <c r="AV133" s="120"/>
      <c r="AW133" s="120"/>
      <c r="AX133" s="120"/>
      <c r="AY133" s="120"/>
      <c r="AZ133" s="120"/>
      <c r="BA133" s="120"/>
      <c r="BB133" s="120"/>
    </row>
    <row r="134" spans="1:54" ht="12.75">
      <c r="A134" s="201"/>
      <c r="B134" s="150"/>
      <c r="C134" s="191"/>
      <c r="D134" s="199"/>
      <c r="E134" s="200"/>
      <c r="F134" s="200"/>
      <c r="G134" s="215" t="s">
        <v>244</v>
      </c>
      <c r="H134" s="151"/>
      <c r="I134" s="235">
        <f>SUM(I112:I133)+I107</f>
        <v>2306294.7920000143</v>
      </c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60" t="s">
        <v>619</v>
      </c>
      <c r="AU134" s="120"/>
      <c r="AV134" s="120"/>
      <c r="AW134" s="120"/>
      <c r="AX134" s="120"/>
      <c r="AY134" s="120"/>
      <c r="AZ134" s="120"/>
      <c r="BA134" s="120"/>
      <c r="BB134" s="120"/>
    </row>
    <row r="135" spans="1:54" ht="12.75">
      <c r="A135" s="143" t="s">
        <v>247</v>
      </c>
      <c r="B135" s="145" t="s">
        <v>245</v>
      </c>
      <c r="C135" s="202"/>
      <c r="D135" s="202"/>
      <c r="E135" s="203"/>
      <c r="F135" s="203"/>
      <c r="G135" s="204"/>
      <c r="H135" s="146"/>
      <c r="I135" s="205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60"/>
      <c r="AU135" s="120"/>
      <c r="AV135" s="120"/>
      <c r="AW135" s="120"/>
      <c r="AX135" s="120"/>
      <c r="AY135" s="120"/>
      <c r="AZ135" s="120"/>
      <c r="BA135" s="120"/>
      <c r="BB135" s="120"/>
    </row>
    <row r="136" spans="1:54" ht="12.75">
      <c r="A136" s="173"/>
      <c r="B136" s="159" t="s">
        <v>246</v>
      </c>
      <c r="C136" s="206"/>
      <c r="D136" s="191"/>
      <c r="E136" s="207"/>
      <c r="F136" s="207"/>
      <c r="G136" s="208"/>
      <c r="H136" s="148"/>
      <c r="I136" s="209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60" t="s">
        <v>143</v>
      </c>
      <c r="AU136" s="120"/>
      <c r="AV136" s="120"/>
      <c r="AW136" s="120"/>
      <c r="AX136" s="120"/>
      <c r="AY136" s="120"/>
      <c r="AZ136" s="120"/>
      <c r="BA136" s="120"/>
      <c r="BB136" s="120"/>
    </row>
    <row r="137" spans="1:54" ht="12.75">
      <c r="A137" s="145" t="s">
        <v>248</v>
      </c>
      <c r="B137" s="143" t="s">
        <v>489</v>
      </c>
      <c r="C137" s="304"/>
      <c r="D137" s="211"/>
      <c r="E137" s="211"/>
      <c r="F137" s="155"/>
      <c r="G137" s="212"/>
      <c r="H137" s="152"/>
      <c r="I137" s="155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60"/>
      <c r="AU137" s="120"/>
      <c r="AV137" s="120"/>
      <c r="AW137" s="120"/>
      <c r="AX137" s="120"/>
      <c r="AY137" s="120"/>
      <c r="AZ137" s="120"/>
      <c r="BA137" s="120"/>
      <c r="BB137" s="120"/>
    </row>
    <row r="138" spans="1:54" ht="12.75">
      <c r="A138" s="159"/>
      <c r="B138" s="173"/>
      <c r="C138" s="305">
        <v>611127627</v>
      </c>
      <c r="D138" s="302">
        <v>2562.9344</v>
      </c>
      <c r="E138" s="302">
        <v>2564.0564</v>
      </c>
      <c r="F138" s="155">
        <v>40</v>
      </c>
      <c r="G138" s="252">
        <f>E138-D138</f>
        <v>1.1219999999998436</v>
      </c>
      <c r="H138" s="155"/>
      <c r="I138" s="155">
        <f>ROUND(F138*G138+H138,0)</f>
        <v>45</v>
      </c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60"/>
      <c r="AU138" s="120"/>
      <c r="AV138" s="120"/>
      <c r="AW138" s="120"/>
      <c r="AX138" s="120"/>
      <c r="AY138" s="120"/>
      <c r="AZ138" s="120"/>
      <c r="BA138" s="120"/>
      <c r="BB138" s="120"/>
    </row>
    <row r="139" spans="1:54" ht="12.75">
      <c r="A139" s="159"/>
      <c r="B139" s="144" t="s">
        <v>467</v>
      </c>
      <c r="C139" s="305"/>
      <c r="D139" s="306"/>
      <c r="E139" s="306"/>
      <c r="F139" s="155"/>
      <c r="G139" s="212"/>
      <c r="H139" s="155"/>
      <c r="I139" s="155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 t="s">
        <v>617</v>
      </c>
      <c r="AX139" s="120"/>
      <c r="AY139" s="120"/>
      <c r="AZ139" s="120"/>
      <c r="BA139" s="120"/>
      <c r="BB139" s="120"/>
    </row>
    <row r="140" spans="1:54" ht="12.75">
      <c r="A140" s="143" t="s">
        <v>251</v>
      </c>
      <c r="B140" s="161"/>
      <c r="C140" s="213">
        <v>810120245</v>
      </c>
      <c r="D140" s="302">
        <v>1341.549</v>
      </c>
      <c r="E140" s="302">
        <v>1341.9551</v>
      </c>
      <c r="F140" s="155">
        <v>3600</v>
      </c>
      <c r="G140" s="252">
        <f aca="true" t="shared" si="3" ref="G140:G145">E140-D140</f>
        <v>0.40609999999992397</v>
      </c>
      <c r="H140" s="155"/>
      <c r="I140" s="155">
        <f aca="true" t="shared" si="4" ref="I140:I145">ROUND(F140*G140+H140,0)</f>
        <v>1462</v>
      </c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 t="s">
        <v>618</v>
      </c>
      <c r="AX140" s="120"/>
      <c r="AY140" s="120"/>
      <c r="AZ140" s="120"/>
      <c r="BA140" s="120"/>
      <c r="BB140" s="120"/>
    </row>
    <row r="141" spans="1:54" ht="12.75">
      <c r="A141" s="173"/>
      <c r="B141" s="161" t="s">
        <v>495</v>
      </c>
      <c r="C141" s="213"/>
      <c r="D141" s="302"/>
      <c r="E141" s="302"/>
      <c r="F141" s="155"/>
      <c r="G141" s="252"/>
      <c r="H141" s="96"/>
      <c r="I141" s="155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</row>
    <row r="142" spans="1:54" ht="12.75">
      <c r="A142" s="173"/>
      <c r="B142" s="161"/>
      <c r="C142" s="210">
        <v>4050284</v>
      </c>
      <c r="D142" s="230">
        <v>4312.4011</v>
      </c>
      <c r="E142" s="230">
        <v>4333.4111</v>
      </c>
      <c r="F142" s="155">
        <v>3600</v>
      </c>
      <c r="G142" s="253">
        <f t="shared" si="3"/>
        <v>21.01000000000022</v>
      </c>
      <c r="H142" s="96"/>
      <c r="I142" s="155">
        <f t="shared" si="4"/>
        <v>75636</v>
      </c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</row>
    <row r="143" spans="1:54" ht="12.75">
      <c r="A143" s="144"/>
      <c r="B143" s="149"/>
      <c r="C143" s="210"/>
      <c r="D143" s="230"/>
      <c r="E143" s="230"/>
      <c r="F143" s="155"/>
      <c r="G143" s="253"/>
      <c r="H143" s="96"/>
      <c r="I143" s="155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</row>
    <row r="144" spans="1:54" ht="12.75">
      <c r="A144" s="173" t="s">
        <v>252</v>
      </c>
      <c r="B144" s="143" t="s">
        <v>218</v>
      </c>
      <c r="C144" s="152"/>
      <c r="D144" s="211"/>
      <c r="E144" s="211"/>
      <c r="F144" s="155"/>
      <c r="G144" s="212"/>
      <c r="H144" s="96"/>
      <c r="I144" s="155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</row>
    <row r="145" spans="1:54" ht="12.75">
      <c r="A145" s="307"/>
      <c r="B145" s="173" t="s">
        <v>217</v>
      </c>
      <c r="C145" s="305">
        <v>611127492</v>
      </c>
      <c r="D145" s="302">
        <v>6074.0916</v>
      </c>
      <c r="E145" s="302">
        <v>6152.0268</v>
      </c>
      <c r="F145" s="155">
        <v>20</v>
      </c>
      <c r="G145" s="252">
        <f t="shared" si="3"/>
        <v>77.9351999999999</v>
      </c>
      <c r="H145" s="155"/>
      <c r="I145" s="155">
        <f t="shared" si="4"/>
        <v>1559</v>
      </c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</row>
    <row r="146" spans="1:54" ht="12.75">
      <c r="A146" s="145" t="s">
        <v>253</v>
      </c>
      <c r="B146" s="143" t="s">
        <v>490</v>
      </c>
      <c r="C146" s="309"/>
      <c r="D146" s="211"/>
      <c r="E146" s="211"/>
      <c r="F146" s="155"/>
      <c r="G146" s="212"/>
      <c r="H146" s="96"/>
      <c r="I146" s="155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</row>
    <row r="147" spans="1:54" ht="12.75">
      <c r="A147" s="308"/>
      <c r="B147" s="168" t="s">
        <v>546</v>
      </c>
      <c r="C147" s="305">
        <v>611127702</v>
      </c>
      <c r="D147" s="302">
        <v>7022.7276</v>
      </c>
      <c r="E147" s="302">
        <v>7058.7004</v>
      </c>
      <c r="F147" s="155">
        <v>60</v>
      </c>
      <c r="G147" s="252">
        <f>E147-D147</f>
        <v>35.97279999999955</v>
      </c>
      <c r="H147" s="96"/>
      <c r="I147" s="155">
        <f>ROUND(F147*G147+H147,0)</f>
        <v>2158</v>
      </c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</row>
    <row r="148" spans="1:54" ht="12.75">
      <c r="A148" s="159"/>
      <c r="B148" s="168" t="s">
        <v>547</v>
      </c>
      <c r="C148" s="305">
        <v>611127555</v>
      </c>
      <c r="D148" s="302">
        <v>2128.9648</v>
      </c>
      <c r="E148" s="302">
        <v>2221.8124</v>
      </c>
      <c r="F148" s="155">
        <v>60</v>
      </c>
      <c r="G148" s="252">
        <f>E148-D148</f>
        <v>92.8475999999996</v>
      </c>
      <c r="H148" s="96"/>
      <c r="I148" s="155">
        <f>ROUND(F148*G148+H148,0)</f>
        <v>5571</v>
      </c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</row>
    <row r="149" spans="1:54" ht="12.75">
      <c r="A149" s="145" t="s">
        <v>258</v>
      </c>
      <c r="B149" s="143" t="s">
        <v>491</v>
      </c>
      <c r="C149" s="310"/>
      <c r="D149" s="232"/>
      <c r="E149" s="232"/>
      <c r="F149" s="155"/>
      <c r="G149" s="212"/>
      <c r="H149" s="96"/>
      <c r="I149" s="155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</row>
    <row r="150" spans="1:54" ht="12.75">
      <c r="A150" s="308"/>
      <c r="B150" s="173"/>
      <c r="C150" s="305">
        <v>1110171163</v>
      </c>
      <c r="D150" s="230">
        <v>605.592</v>
      </c>
      <c r="E150" s="230">
        <v>623.144</v>
      </c>
      <c r="F150" s="155">
        <v>60</v>
      </c>
      <c r="G150" s="252">
        <f>E150-D150</f>
        <v>17.55200000000002</v>
      </c>
      <c r="H150" s="96"/>
      <c r="I150" s="155">
        <f>ROUND(F150*G150+H150,0)</f>
        <v>1053</v>
      </c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</row>
    <row r="151" spans="1:54" ht="12.75">
      <c r="A151" s="159"/>
      <c r="B151" s="173"/>
      <c r="C151" s="305"/>
      <c r="D151" s="211"/>
      <c r="E151" s="211"/>
      <c r="F151" s="155"/>
      <c r="G151" s="212"/>
      <c r="H151" s="96"/>
      <c r="I151" s="155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</row>
    <row r="152" spans="1:54" ht="12.75">
      <c r="A152" s="145" t="s">
        <v>260</v>
      </c>
      <c r="B152" s="143" t="s">
        <v>492</v>
      </c>
      <c r="C152" s="311"/>
      <c r="D152" s="232"/>
      <c r="E152" s="232"/>
      <c r="F152" s="155"/>
      <c r="G152" s="212"/>
      <c r="H152" s="96"/>
      <c r="I152" s="155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</row>
    <row r="153" spans="1:54" ht="12.75">
      <c r="A153" s="159"/>
      <c r="B153" s="173"/>
      <c r="C153" s="305">
        <v>1110171170</v>
      </c>
      <c r="D153" s="302">
        <v>205.0288</v>
      </c>
      <c r="E153" s="302">
        <v>210.8516</v>
      </c>
      <c r="F153" s="155">
        <v>40</v>
      </c>
      <c r="G153" s="252">
        <f>E153-D153</f>
        <v>5.822800000000001</v>
      </c>
      <c r="H153" s="155"/>
      <c r="I153" s="155">
        <f>ROUND(F153*G153+H153,0)</f>
        <v>233</v>
      </c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</row>
    <row r="154" spans="1:54" ht="12.75">
      <c r="A154" s="159"/>
      <c r="B154" s="173"/>
      <c r="C154" s="305"/>
      <c r="D154" s="306"/>
      <c r="E154" s="306"/>
      <c r="F154" s="155"/>
      <c r="G154" s="212"/>
      <c r="H154" s="155"/>
      <c r="I154" s="155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</row>
    <row r="155" spans="1:54" ht="12.75">
      <c r="A155" s="143" t="s">
        <v>261</v>
      </c>
      <c r="B155" s="147" t="s">
        <v>541</v>
      </c>
      <c r="C155" s="305">
        <v>611126342</v>
      </c>
      <c r="D155" s="302">
        <v>6059.7548</v>
      </c>
      <c r="E155" s="302">
        <v>6059.7548</v>
      </c>
      <c r="F155" s="155">
        <v>1800</v>
      </c>
      <c r="G155" s="252">
        <f>E155-D155</f>
        <v>0</v>
      </c>
      <c r="H155" s="155"/>
      <c r="I155" s="155">
        <f>ROUND(F155*G155+H155,0)</f>
        <v>0</v>
      </c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</row>
    <row r="156" spans="1:54" ht="12.75">
      <c r="A156" s="173"/>
      <c r="B156" s="161" t="s">
        <v>469</v>
      </c>
      <c r="C156" s="305">
        <v>611126404</v>
      </c>
      <c r="D156" s="302">
        <v>905.5275</v>
      </c>
      <c r="E156" s="302">
        <v>916.3089</v>
      </c>
      <c r="F156" s="155">
        <v>1800</v>
      </c>
      <c r="G156" s="252">
        <f>E156-D156</f>
        <v>10.781399999999962</v>
      </c>
      <c r="H156" s="155"/>
      <c r="I156" s="155">
        <f>ROUND(F156*G156+H156,0)</f>
        <v>19407</v>
      </c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</row>
    <row r="157" spans="1:54" ht="12.75">
      <c r="A157" s="144"/>
      <c r="B157" s="149" t="s">
        <v>509</v>
      </c>
      <c r="C157" s="305">
        <v>611126334</v>
      </c>
      <c r="D157" s="302">
        <v>0.1356</v>
      </c>
      <c r="E157" s="302">
        <v>0.1356</v>
      </c>
      <c r="F157" s="155">
        <v>1800</v>
      </c>
      <c r="G157" s="252">
        <f>E157-D157</f>
        <v>0</v>
      </c>
      <c r="H157" s="96"/>
      <c r="I157" s="155">
        <f>ROUND(F157*G157+H157,0)</f>
        <v>0</v>
      </c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</row>
    <row r="158" spans="1:54" ht="12.75">
      <c r="A158" s="159" t="s">
        <v>477</v>
      </c>
      <c r="B158" s="143" t="s">
        <v>493</v>
      </c>
      <c r="C158" s="305">
        <v>611127724</v>
      </c>
      <c r="D158" s="302">
        <v>676.9168</v>
      </c>
      <c r="E158" s="302">
        <v>688.3756</v>
      </c>
      <c r="F158" s="155">
        <v>30</v>
      </c>
      <c r="G158" s="252">
        <f>E158-D158</f>
        <v>11.458799999999997</v>
      </c>
      <c r="H158" s="155"/>
      <c r="I158" s="155">
        <f>ROUND(F158*G158+H158,0)</f>
        <v>344</v>
      </c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</row>
    <row r="159" spans="1:54" ht="12.75">
      <c r="A159" s="103"/>
      <c r="B159" s="173" t="s">
        <v>540</v>
      </c>
      <c r="C159" s="305"/>
      <c r="D159" s="306"/>
      <c r="E159" s="306"/>
      <c r="F159" s="155"/>
      <c r="G159" s="212"/>
      <c r="H159" s="155"/>
      <c r="I159" s="155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</row>
    <row r="160" spans="1:54" ht="12.75">
      <c r="A160" s="96"/>
      <c r="B160" s="312"/>
      <c r="C160" s="171"/>
      <c r="D160" s="306"/>
      <c r="E160" s="306"/>
      <c r="F160" s="155"/>
      <c r="G160" s="212"/>
      <c r="H160" s="155"/>
      <c r="I160" s="155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</row>
    <row r="161" spans="1:54" ht="12.75">
      <c r="A161" s="103"/>
      <c r="B161" s="148"/>
      <c r="C161" s="150"/>
      <c r="D161" s="150"/>
      <c r="E161" s="150"/>
      <c r="F161" s="150" t="s">
        <v>264</v>
      </c>
      <c r="G161" s="150"/>
      <c r="H161" s="151"/>
      <c r="I161" s="235">
        <f>SUM(I137:I159)-I160</f>
        <v>107468</v>
      </c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</row>
    <row r="162" spans="1:54" ht="12.75">
      <c r="A162" s="102"/>
      <c r="B162" s="150"/>
      <c r="C162" s="150"/>
      <c r="D162" s="150"/>
      <c r="E162" s="150"/>
      <c r="F162" s="150"/>
      <c r="G162" s="150" t="s">
        <v>265</v>
      </c>
      <c r="H162" s="151"/>
      <c r="I162" s="235">
        <f>I103+I104+I107+I108+I109+I110-I134-I161</f>
        <v>2792652.608000003</v>
      </c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</row>
    <row r="163" spans="1:54" ht="12.75">
      <c r="A163" s="96" t="s">
        <v>272</v>
      </c>
      <c r="B163" s="102" t="s">
        <v>266</v>
      </c>
      <c r="C163" s="150"/>
      <c r="D163" s="150"/>
      <c r="E163" s="150"/>
      <c r="F163" s="150"/>
      <c r="G163" s="150"/>
      <c r="H163" s="150"/>
      <c r="I163" s="151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</row>
    <row r="164" spans="1:54" ht="12.75">
      <c r="A164" s="143" t="s">
        <v>270</v>
      </c>
      <c r="B164" s="143" t="s">
        <v>267</v>
      </c>
      <c r="C164" s="171">
        <v>18705639</v>
      </c>
      <c r="D164" s="321">
        <v>38</v>
      </c>
      <c r="E164" s="321">
        <v>38</v>
      </c>
      <c r="F164" s="175">
        <v>30</v>
      </c>
      <c r="G164" s="322">
        <f>E164-D164</f>
        <v>0</v>
      </c>
      <c r="H164" s="143"/>
      <c r="I164" s="175">
        <f>F164*G164+H164</f>
        <v>0</v>
      </c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</row>
    <row r="165" spans="1:54" ht="12.75">
      <c r="A165" s="144"/>
      <c r="B165" s="144" t="s">
        <v>268</v>
      </c>
      <c r="C165" s="169"/>
      <c r="D165" s="144"/>
      <c r="E165" s="144"/>
      <c r="F165" s="164"/>
      <c r="G165" s="144"/>
      <c r="H165" s="144"/>
      <c r="I165" s="144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</row>
    <row r="166" spans="1:54" ht="12.75">
      <c r="A166" s="143" t="s">
        <v>271</v>
      </c>
      <c r="B166" s="143" t="s">
        <v>269</v>
      </c>
      <c r="C166" s="171">
        <v>18705843</v>
      </c>
      <c r="D166" s="321">
        <v>204.4</v>
      </c>
      <c r="E166" s="321">
        <v>204.4</v>
      </c>
      <c r="F166" s="175">
        <v>30</v>
      </c>
      <c r="G166" s="233">
        <f>E166-D166</f>
        <v>0</v>
      </c>
      <c r="H166" s="143"/>
      <c r="I166" s="175">
        <f>F166*G166+H166</f>
        <v>0</v>
      </c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</row>
    <row r="167" spans="1:54" ht="12.75">
      <c r="A167" s="144"/>
      <c r="B167" s="144" t="s">
        <v>268</v>
      </c>
      <c r="C167" s="169"/>
      <c r="D167" s="144"/>
      <c r="E167" s="144"/>
      <c r="F167" s="164"/>
      <c r="G167" s="144"/>
      <c r="H167" s="144"/>
      <c r="I167" s="144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</row>
    <row r="168" spans="1:54" ht="12.75">
      <c r="A168" s="102"/>
      <c r="B168" s="150"/>
      <c r="C168" s="217"/>
      <c r="D168" s="199"/>
      <c r="E168" s="218"/>
      <c r="F168" s="218" t="s">
        <v>273</v>
      </c>
      <c r="G168" s="219"/>
      <c r="H168" s="151"/>
      <c r="I168" s="155">
        <f>I164+I166</f>
        <v>0</v>
      </c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</row>
    <row r="169" spans="1:54" ht="12.75">
      <c r="A169" s="102"/>
      <c r="B169" s="150"/>
      <c r="C169" s="217"/>
      <c r="D169" s="199"/>
      <c r="E169" s="218"/>
      <c r="F169" s="218"/>
      <c r="G169" s="219" t="s">
        <v>274</v>
      </c>
      <c r="H169" s="151"/>
      <c r="I169" s="235">
        <f>I162+I168</f>
        <v>2792652.608000003</v>
      </c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</row>
    <row r="170" spans="1:54" ht="12.75">
      <c r="A170" s="145" t="s">
        <v>275</v>
      </c>
      <c r="B170" s="146"/>
      <c r="C170" s="220"/>
      <c r="D170" s="202"/>
      <c r="E170" s="221"/>
      <c r="F170" s="221"/>
      <c r="G170" s="204"/>
      <c r="H170" s="146"/>
      <c r="I170" s="205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</row>
    <row r="171" spans="1:54" ht="12.75">
      <c r="A171" s="222" t="s">
        <v>538</v>
      </c>
      <c r="B171" s="223"/>
      <c r="C171" s="223"/>
      <c r="D171" s="191"/>
      <c r="E171" s="148"/>
      <c r="F171" s="148"/>
      <c r="G171" s="148"/>
      <c r="H171" s="148"/>
      <c r="I171" s="209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</row>
    <row r="172" spans="1:54" ht="12.75">
      <c r="A172" s="160" t="s">
        <v>279</v>
      </c>
      <c r="B172" s="160"/>
      <c r="C172" s="264"/>
      <c r="D172" s="181"/>
      <c r="E172" s="265"/>
      <c r="F172" s="265"/>
      <c r="G172" s="188"/>
      <c r="H172" s="160"/>
      <c r="I172" s="19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</row>
    <row r="173" spans="1:54" ht="12.75">
      <c r="A173" s="160"/>
      <c r="B173" s="160"/>
      <c r="C173" s="181"/>
      <c r="D173" s="313" t="s">
        <v>280</v>
      </c>
      <c r="E173" s="313"/>
      <c r="F173" s="314"/>
      <c r="G173" s="243"/>
      <c r="H173" s="243"/>
      <c r="I173" s="189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</row>
    <row r="174" spans="1:54" ht="12.75">
      <c r="A174" s="160"/>
      <c r="B174" s="160"/>
      <c r="C174" s="181"/>
      <c r="D174" s="313" t="s">
        <v>531</v>
      </c>
      <c r="E174" s="313"/>
      <c r="F174" s="314"/>
      <c r="G174" s="243"/>
      <c r="H174" s="243"/>
      <c r="I174" s="189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</row>
    <row r="175" spans="1:54" ht="12.75">
      <c r="A175" s="160"/>
      <c r="B175" s="160"/>
      <c r="C175" s="264"/>
      <c r="D175" s="313" t="s">
        <v>539</v>
      </c>
      <c r="E175" s="313"/>
      <c r="F175" s="314"/>
      <c r="G175" s="243"/>
      <c r="H175" s="243"/>
      <c r="I175" s="189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</row>
    <row r="176" spans="1:54" ht="12.75">
      <c r="A176" s="160"/>
      <c r="B176" s="160"/>
      <c r="C176" s="160"/>
      <c r="D176" s="160"/>
      <c r="E176" s="160"/>
      <c r="F176" s="160"/>
      <c r="G176" s="160"/>
      <c r="H176" s="160"/>
      <c r="I176" s="16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</row>
    <row r="177" spans="1:54" ht="12.75">
      <c r="A177" s="160"/>
      <c r="B177" s="160"/>
      <c r="C177" s="160"/>
      <c r="D177" s="160"/>
      <c r="E177" s="160"/>
      <c r="F177" s="160"/>
      <c r="G177" s="160"/>
      <c r="H177" s="160"/>
      <c r="I177" s="16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 t="s">
        <v>519</v>
      </c>
      <c r="BA177" s="120"/>
      <c r="BB177" s="120"/>
    </row>
    <row r="178" spans="1:54" ht="12.75">
      <c r="A178" s="160"/>
      <c r="B178" s="160"/>
      <c r="C178" s="315"/>
      <c r="D178" s="316"/>
      <c r="E178" s="316"/>
      <c r="F178" s="180"/>
      <c r="G178" s="317"/>
      <c r="H178" s="160"/>
      <c r="I178" s="18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 t="s">
        <v>513</v>
      </c>
      <c r="BA178" s="120" t="s">
        <v>109</v>
      </c>
      <c r="BB178" s="120"/>
    </row>
    <row r="179" spans="1:54" ht="12.75">
      <c r="A179" s="243"/>
      <c r="B179" s="160"/>
      <c r="C179" s="315"/>
      <c r="D179" s="316"/>
      <c r="E179" s="316"/>
      <c r="F179" s="180"/>
      <c r="G179" s="317"/>
      <c r="H179" s="160"/>
      <c r="I179" s="18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 t="s">
        <v>510</v>
      </c>
      <c r="AZ179" s="301">
        <f>AZ183+AZ184+AZ185</f>
        <v>3001254</v>
      </c>
      <c r="BA179" s="370">
        <f>AZ179*2.9</f>
        <v>8703636.6</v>
      </c>
      <c r="BB179" s="120"/>
    </row>
    <row r="180" spans="1:54" ht="12.75">
      <c r="A180" s="160"/>
      <c r="B180" s="160"/>
      <c r="C180" s="160"/>
      <c r="D180" s="160"/>
      <c r="E180" s="160"/>
      <c r="F180" s="160"/>
      <c r="G180" s="160"/>
      <c r="H180" s="160"/>
      <c r="I180" s="16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 t="s">
        <v>511</v>
      </c>
      <c r="AZ180" s="301">
        <f>AZ187-AZ179-AZ181</f>
        <v>2411681</v>
      </c>
      <c r="BA180" s="370">
        <f>AZ180*2.9</f>
        <v>6993874.899999999</v>
      </c>
      <c r="BB180" s="120"/>
    </row>
    <row r="181" spans="1:54" ht="12.75">
      <c r="A181" s="160"/>
      <c r="B181" s="160"/>
      <c r="C181" s="160"/>
      <c r="D181" s="160"/>
      <c r="E181" s="160"/>
      <c r="F181" s="160"/>
      <c r="G181" s="160"/>
      <c r="H181" s="160"/>
      <c r="I181" s="16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 t="s">
        <v>512</v>
      </c>
      <c r="AZ181" s="301">
        <f>AZ186</f>
        <v>163780</v>
      </c>
      <c r="BA181" s="370">
        <f>AZ181*2.9</f>
        <v>474962</v>
      </c>
      <c r="BB181" s="120"/>
    </row>
    <row r="182" spans="52:53" ht="12.75">
      <c r="AZ182" s="368"/>
      <c r="BA182" s="368"/>
    </row>
    <row r="183" spans="51:53" ht="12.75">
      <c r="AY183" s="120" t="s">
        <v>514</v>
      </c>
      <c r="AZ183" s="369">
        <v>2742934</v>
      </c>
      <c r="BA183" s="368"/>
    </row>
    <row r="184" spans="51:53" ht="12.75">
      <c r="AY184" s="120" t="s">
        <v>515</v>
      </c>
      <c r="AZ184" s="369">
        <f>AZ95</f>
        <v>76467</v>
      </c>
      <c r="BA184" s="368"/>
    </row>
    <row r="185" spans="51:53" ht="12.75">
      <c r="AY185" s="120" t="s">
        <v>517</v>
      </c>
      <c r="AZ185" s="369">
        <v>181853</v>
      </c>
      <c r="BA185" s="368"/>
    </row>
    <row r="186" spans="51:53" ht="12.75">
      <c r="AY186" s="120" t="s">
        <v>518</v>
      </c>
      <c r="AZ186" s="369">
        <v>163780</v>
      </c>
      <c r="BA186" s="368"/>
    </row>
    <row r="187" spans="51:52" ht="12.75">
      <c r="AY187" s="120" t="s">
        <v>516</v>
      </c>
      <c r="AZ187" s="369">
        <f>AZ131</f>
        <v>5576715</v>
      </c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 t="s">
        <v>552</v>
      </c>
      <c r="C196" s="4"/>
      <c r="D196" s="380">
        <v>42420</v>
      </c>
      <c r="E196" s="380">
        <v>42444</v>
      </c>
      <c r="F196" s="380">
        <v>1800</v>
      </c>
      <c r="G196" s="380">
        <f>E196-D196</f>
        <v>24</v>
      </c>
      <c r="H196" s="380"/>
      <c r="I196" s="155">
        <f>ROUND(F196*G196+H196,0)</f>
        <v>43200</v>
      </c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2.75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2.75">
      <c r="A200" s="11"/>
      <c r="B200" s="11"/>
      <c r="C200" s="11"/>
      <c r="D200" s="11"/>
      <c r="E200" s="11"/>
      <c r="F200" s="11"/>
      <c r="G200" s="11"/>
      <c r="H200" s="11"/>
      <c r="I200" s="11"/>
    </row>
  </sheetData>
  <sheetProtection/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U525"/>
  <sheetViews>
    <sheetView zoomScalePageLayoutView="0" workbookViewId="0" topLeftCell="A1">
      <selection activeCell="K77" sqref="K77"/>
    </sheetView>
  </sheetViews>
  <sheetFormatPr defaultColWidth="9.00390625" defaultRowHeight="12.75"/>
  <cols>
    <col min="1" max="1" width="6.625" style="0" customWidth="1"/>
    <col min="2" max="2" width="38.125" style="0" customWidth="1"/>
    <col min="3" max="3" width="16.375" style="0" customWidth="1"/>
    <col min="4" max="4" width="11.375" style="0" customWidth="1"/>
    <col min="5" max="5" width="11.00390625" style="0" customWidth="1"/>
    <col min="8" max="8" width="9.875" style="0" customWidth="1"/>
    <col min="9" max="9" width="11.875" style="0" customWidth="1"/>
    <col min="10" max="10" width="6.875" style="0" customWidth="1"/>
    <col min="11" max="11" width="41.625" style="0" customWidth="1"/>
    <col min="12" max="12" width="17.00390625" style="0" customWidth="1"/>
    <col min="13" max="13" width="10.375" style="0" customWidth="1"/>
    <col min="14" max="14" width="10.25390625" style="0" customWidth="1"/>
    <col min="15" max="15" width="9.00390625" style="0" customWidth="1"/>
    <col min="16" max="16" width="10.00390625" style="0" bestFit="1" customWidth="1"/>
    <col min="17" max="17" width="8.125" style="0" customWidth="1"/>
    <col min="18" max="18" width="11.25390625" style="0" customWidth="1"/>
    <col min="19" max="19" width="7.375" style="0" customWidth="1"/>
    <col min="22" max="22" width="31.00390625" style="0" customWidth="1"/>
    <col min="23" max="23" width="12.875" style="0" customWidth="1"/>
    <col min="24" max="24" width="13.00390625" style="0" customWidth="1"/>
    <col min="25" max="25" width="12.375" style="0" customWidth="1"/>
    <col min="26" max="26" width="12.75390625" style="0" customWidth="1"/>
    <col min="27" max="27" width="12.125" style="0" customWidth="1"/>
    <col min="28" max="28" width="6.875" style="0" customWidth="1"/>
    <col min="31" max="31" width="37.00390625" style="0" customWidth="1"/>
    <col min="32" max="32" width="12.25390625" style="0" customWidth="1"/>
    <col min="33" max="33" width="11.625" style="0" customWidth="1"/>
    <col min="34" max="34" width="10.75390625" style="0" customWidth="1"/>
    <col min="35" max="35" width="12.625" style="0" customWidth="1"/>
    <col min="36" max="36" width="11.375" style="0" customWidth="1"/>
    <col min="37" max="37" width="6.875" style="0" customWidth="1"/>
    <col min="40" max="40" width="33.125" style="0" customWidth="1"/>
    <col min="41" max="41" width="12.375" style="0" customWidth="1"/>
    <col min="42" max="42" width="10.75390625" style="0" customWidth="1"/>
    <col min="43" max="43" width="12.00390625" style="0" customWidth="1"/>
    <col min="44" max="44" width="11.875" style="0" customWidth="1"/>
    <col min="45" max="45" width="12.00390625" style="0" customWidth="1"/>
    <col min="51" max="51" width="27.375" style="0" customWidth="1"/>
    <col min="52" max="52" width="15.125" style="0" customWidth="1"/>
    <col min="53" max="53" width="14.625" style="0" customWidth="1"/>
    <col min="54" max="54" width="16.375" style="0" customWidth="1"/>
    <col min="63" max="63" width="10.25390625" style="0" customWidth="1"/>
    <col min="66" max="66" width="11.625" style="0" customWidth="1"/>
    <col min="69" max="69" width="10.625" style="0" customWidth="1"/>
    <col min="72" max="72" width="11.375" style="0" customWidth="1"/>
    <col min="75" max="75" width="11.00390625" style="0" customWidth="1"/>
    <col min="78" max="78" width="10.875" style="0" customWidth="1"/>
    <col min="81" max="81" width="11.75390625" style="0" customWidth="1"/>
    <col min="84" max="84" width="11.875" style="0" customWidth="1"/>
    <col min="87" max="87" width="11.25390625" style="0" customWidth="1"/>
    <col min="90" max="90" width="11.00390625" style="0" customWidth="1"/>
    <col min="93" max="93" width="11.25390625" style="0" customWidth="1"/>
    <col min="96" max="96" width="10.75390625" style="0" customWidth="1"/>
    <col min="97" max="97" width="10.625" style="0" customWidth="1"/>
    <col min="98" max="98" width="9.875" style="0" customWidth="1"/>
    <col min="99" max="99" width="13.75390625" style="0" customWidth="1"/>
  </cols>
  <sheetData>
    <row r="1" spans="1:81" ht="12.75">
      <c r="A1" s="120"/>
      <c r="B1" s="120"/>
      <c r="C1" s="120"/>
      <c r="D1" s="120" t="s">
        <v>192</v>
      </c>
      <c r="E1" s="120"/>
      <c r="F1" s="120"/>
      <c r="G1" s="120"/>
      <c r="H1" s="120"/>
      <c r="I1" s="120"/>
      <c r="J1" s="120"/>
      <c r="K1" s="120"/>
      <c r="L1" s="120"/>
      <c r="M1" s="120" t="s">
        <v>288</v>
      </c>
      <c r="N1" s="120"/>
      <c r="O1" s="120"/>
      <c r="P1" s="120"/>
      <c r="Q1" s="120"/>
      <c r="R1" s="120"/>
      <c r="S1" s="160"/>
      <c r="T1" s="160"/>
      <c r="U1" s="160"/>
      <c r="V1" s="160"/>
      <c r="W1" s="160"/>
      <c r="X1" s="160"/>
      <c r="Y1" s="160"/>
      <c r="Z1" s="160"/>
      <c r="AA1" s="160"/>
      <c r="AB1" s="120" t="s">
        <v>325</v>
      </c>
      <c r="AC1" s="120"/>
      <c r="AD1" s="120"/>
      <c r="AE1" s="120"/>
      <c r="AF1" s="120"/>
      <c r="AG1" s="120"/>
      <c r="AH1" s="120"/>
      <c r="AI1" s="120"/>
      <c r="AJ1" s="120"/>
      <c r="AK1" s="120" t="s">
        <v>325</v>
      </c>
      <c r="AL1" s="120"/>
      <c r="AM1" s="120"/>
      <c r="AN1" s="120"/>
      <c r="AO1" s="120"/>
      <c r="AP1" s="120"/>
      <c r="AQ1" s="120"/>
      <c r="AR1" s="120"/>
      <c r="AS1" s="120"/>
      <c r="AT1" s="160" t="s">
        <v>399</v>
      </c>
      <c r="AU1" s="120"/>
      <c r="AV1" s="120"/>
      <c r="AW1" s="120"/>
      <c r="AX1" s="120"/>
      <c r="AY1" s="120"/>
      <c r="AZ1" s="120"/>
      <c r="BA1" s="120"/>
      <c r="BB1" s="120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</row>
    <row r="2" spans="1:81" ht="13.5">
      <c r="A2" s="120"/>
      <c r="B2" s="120"/>
      <c r="C2" s="120"/>
      <c r="D2" s="120" t="s">
        <v>193</v>
      </c>
      <c r="E2" s="120"/>
      <c r="F2" s="120"/>
      <c r="G2" s="120"/>
      <c r="H2" s="120"/>
      <c r="I2" s="120"/>
      <c r="J2" s="120"/>
      <c r="K2" s="120"/>
      <c r="L2" s="120"/>
      <c r="M2" s="120" t="s">
        <v>289</v>
      </c>
      <c r="N2" s="120"/>
      <c r="O2" s="120"/>
      <c r="P2" s="120"/>
      <c r="Q2" s="120"/>
      <c r="R2" s="120"/>
      <c r="S2" s="120" t="s">
        <v>325</v>
      </c>
      <c r="T2" s="120"/>
      <c r="U2" s="120"/>
      <c r="V2" s="120"/>
      <c r="W2" s="120"/>
      <c r="X2" s="120"/>
      <c r="Y2" s="120"/>
      <c r="Z2" s="120"/>
      <c r="AA2" s="120"/>
      <c r="AB2" s="120" t="s">
        <v>324</v>
      </c>
      <c r="AC2" s="120"/>
      <c r="AD2" s="120"/>
      <c r="AE2" s="120"/>
      <c r="AF2" s="120"/>
      <c r="AG2" s="120"/>
      <c r="AH2" s="120"/>
      <c r="AI2" s="120"/>
      <c r="AJ2" s="120"/>
      <c r="AK2" s="120" t="s">
        <v>324</v>
      </c>
      <c r="AL2" s="120"/>
      <c r="AM2" s="120"/>
      <c r="AN2" s="120"/>
      <c r="AO2" s="120"/>
      <c r="AP2" s="120"/>
      <c r="AQ2" s="120"/>
      <c r="AR2" s="120"/>
      <c r="AS2" s="120"/>
      <c r="AT2" s="160" t="s">
        <v>168</v>
      </c>
      <c r="AU2" s="120"/>
      <c r="AV2" s="120"/>
      <c r="AW2" s="120"/>
      <c r="AX2" s="120"/>
      <c r="AY2" s="120"/>
      <c r="AZ2" s="120"/>
      <c r="BA2" s="120"/>
      <c r="BB2" s="120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</row>
    <row r="3" spans="1:81" ht="13.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 t="s">
        <v>324</v>
      </c>
      <c r="T3" s="120"/>
      <c r="U3" s="120"/>
      <c r="V3" s="120"/>
      <c r="W3" s="120"/>
      <c r="X3" s="120"/>
      <c r="Y3" s="120"/>
      <c r="Z3" s="120"/>
      <c r="AA3" s="120"/>
      <c r="AB3" s="120" t="s">
        <v>326</v>
      </c>
      <c r="AC3" s="120"/>
      <c r="AD3" s="120"/>
      <c r="AE3" s="120"/>
      <c r="AF3" s="120"/>
      <c r="AG3" s="120"/>
      <c r="AH3" s="120"/>
      <c r="AI3" s="120"/>
      <c r="AJ3" s="120"/>
      <c r="AK3" s="120" t="s">
        <v>326</v>
      </c>
      <c r="AL3" s="120"/>
      <c r="AM3" s="120"/>
      <c r="AN3" s="120"/>
      <c r="AO3" s="120"/>
      <c r="AP3" s="120"/>
      <c r="AQ3" s="120"/>
      <c r="AR3" s="120"/>
      <c r="AS3" s="120"/>
      <c r="AT3" s="160"/>
      <c r="AU3" s="120" t="s">
        <v>400</v>
      </c>
      <c r="AV3" s="120"/>
      <c r="AW3" s="120"/>
      <c r="AX3" s="120"/>
      <c r="AY3" s="254" t="s">
        <v>480</v>
      </c>
      <c r="AZ3" s="254" t="s">
        <v>176</v>
      </c>
      <c r="BA3" s="120"/>
      <c r="BB3" s="120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</row>
    <row r="4" spans="1:99" ht="12.75">
      <c r="A4" s="120"/>
      <c r="B4" s="120"/>
      <c r="C4" s="120" t="s">
        <v>194</v>
      </c>
      <c r="D4" s="120"/>
      <c r="E4" s="120"/>
      <c r="F4" s="120"/>
      <c r="G4" s="120"/>
      <c r="H4" s="120"/>
      <c r="I4" s="120"/>
      <c r="J4" s="120"/>
      <c r="K4" s="120"/>
      <c r="L4" s="120" t="s">
        <v>194</v>
      </c>
      <c r="M4" s="120"/>
      <c r="N4" s="120"/>
      <c r="O4" s="120"/>
      <c r="P4" s="120"/>
      <c r="Q4" s="120"/>
      <c r="R4" s="120"/>
      <c r="S4" s="120" t="s">
        <v>326</v>
      </c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45"/>
      <c r="AU4" s="146" t="s">
        <v>405</v>
      </c>
      <c r="AV4" s="146"/>
      <c r="AW4" s="146"/>
      <c r="AX4" s="146"/>
      <c r="AY4" s="146"/>
      <c r="AZ4" s="145" t="s">
        <v>406</v>
      </c>
      <c r="BA4" s="145" t="s">
        <v>407</v>
      </c>
      <c r="BB4" s="143" t="s">
        <v>364</v>
      </c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</row>
    <row r="5" spans="1:99" ht="12.75">
      <c r="A5" s="120"/>
      <c r="B5" s="120"/>
      <c r="C5" s="120"/>
      <c r="D5" s="277" t="s">
        <v>465</v>
      </c>
      <c r="E5" s="277"/>
      <c r="F5" s="120"/>
      <c r="G5" s="120"/>
      <c r="H5" s="120"/>
      <c r="I5" s="120"/>
      <c r="J5" s="120"/>
      <c r="K5" s="120"/>
      <c r="L5" s="120"/>
      <c r="M5" s="277" t="s">
        <v>475</v>
      </c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59"/>
      <c r="AU5" s="160"/>
      <c r="AV5" s="160"/>
      <c r="AW5" s="160"/>
      <c r="AX5" s="160"/>
      <c r="AY5" s="160"/>
      <c r="AZ5" s="159" t="s">
        <v>413</v>
      </c>
      <c r="BA5" s="159" t="s">
        <v>177</v>
      </c>
      <c r="BB5" s="173" t="s">
        <v>80</v>
      </c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</row>
    <row r="6" spans="1:99" ht="12.7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59"/>
      <c r="AU6" s="160"/>
      <c r="AV6" s="160"/>
      <c r="AW6" s="160"/>
      <c r="AX6" s="160"/>
      <c r="AY6" s="160"/>
      <c r="AZ6" s="103" t="s">
        <v>178</v>
      </c>
      <c r="BA6" s="103"/>
      <c r="BB6" s="144" t="s">
        <v>81</v>
      </c>
      <c r="BC6" s="4"/>
      <c r="BD6" s="4"/>
      <c r="BE6" s="4"/>
      <c r="BF6" s="4"/>
      <c r="BG6" s="4"/>
      <c r="BH6" s="4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</row>
    <row r="7" spans="1:99" ht="12.75">
      <c r="A7" s="120" t="s">
        <v>195</v>
      </c>
      <c r="B7" s="120"/>
      <c r="C7" s="120"/>
      <c r="D7" s="120"/>
      <c r="E7" s="120"/>
      <c r="F7" s="120"/>
      <c r="G7" s="120"/>
      <c r="H7" s="120"/>
      <c r="I7" s="120"/>
      <c r="J7" s="120" t="s">
        <v>195</v>
      </c>
      <c r="K7" s="120"/>
      <c r="L7" s="120"/>
      <c r="M7" s="120"/>
      <c r="N7" s="120"/>
      <c r="O7" s="120"/>
      <c r="P7" s="120"/>
      <c r="Q7" s="120"/>
      <c r="R7" s="120"/>
      <c r="S7" s="120" t="s">
        <v>357</v>
      </c>
      <c r="T7" s="120"/>
      <c r="U7" s="120"/>
      <c r="V7" s="120"/>
      <c r="W7" s="120"/>
      <c r="X7" s="120"/>
      <c r="Y7" s="120"/>
      <c r="Z7" s="120"/>
      <c r="AA7" s="120"/>
      <c r="AB7" s="120" t="s">
        <v>357</v>
      </c>
      <c r="AC7" s="120"/>
      <c r="AD7" s="120"/>
      <c r="AE7" s="120"/>
      <c r="AF7" s="120"/>
      <c r="AG7" s="120"/>
      <c r="AH7" s="120"/>
      <c r="AI7" s="120"/>
      <c r="AJ7" s="120"/>
      <c r="AK7" s="120" t="s">
        <v>357</v>
      </c>
      <c r="AL7" s="120"/>
      <c r="AM7" s="120"/>
      <c r="AN7" s="120"/>
      <c r="AO7" s="120"/>
      <c r="AP7" s="120"/>
      <c r="AQ7" s="120"/>
      <c r="AR7" s="120"/>
      <c r="AS7" s="120"/>
      <c r="AT7" s="145" t="s">
        <v>45</v>
      </c>
      <c r="AU7" s="146"/>
      <c r="AV7" s="146"/>
      <c r="AW7" s="146"/>
      <c r="AX7" s="146"/>
      <c r="AY7" s="147"/>
      <c r="AZ7" s="187">
        <f>I20+I22</f>
        <v>10733700.00000005</v>
      </c>
      <c r="BA7" s="278"/>
      <c r="BB7" s="279">
        <f>BB8+BB13</f>
        <v>13125262.055250095</v>
      </c>
      <c r="BC7" s="4"/>
      <c r="BD7" s="4"/>
      <c r="BE7" s="4"/>
      <c r="BF7" s="4"/>
      <c r="BG7" s="4"/>
      <c r="BH7" s="4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</row>
    <row r="8" spans="1:99" ht="12.75">
      <c r="A8" s="120" t="s">
        <v>196</v>
      </c>
      <c r="B8" s="120"/>
      <c r="C8" s="120"/>
      <c r="D8" s="120"/>
      <c r="E8" s="120"/>
      <c r="F8" s="120" t="s">
        <v>197</v>
      </c>
      <c r="G8" s="120"/>
      <c r="H8" s="120"/>
      <c r="I8" s="120"/>
      <c r="J8" s="120" t="s">
        <v>196</v>
      </c>
      <c r="K8" s="120"/>
      <c r="L8" s="120"/>
      <c r="M8" s="120"/>
      <c r="N8" s="120"/>
      <c r="O8" s="120" t="s">
        <v>197</v>
      </c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255" t="s">
        <v>383</v>
      </c>
      <c r="AU8" s="256"/>
      <c r="AV8" s="256"/>
      <c r="AW8" s="256"/>
      <c r="AX8" s="146"/>
      <c r="AY8" s="147"/>
      <c r="AZ8" s="280">
        <f>AZ10+AZ11</f>
        <v>4915260.800000036</v>
      </c>
      <c r="BA8" s="281">
        <f>(BB11+BB10)/AZ8</f>
        <v>2.67</v>
      </c>
      <c r="BB8" s="279">
        <f>BB9+BB10+BB11+BB12</f>
        <v>13123746.336000096</v>
      </c>
      <c r="BC8" s="4"/>
      <c r="BD8" s="4"/>
      <c r="BE8" s="4"/>
      <c r="BF8" s="4"/>
      <c r="BG8" s="4"/>
      <c r="BH8" s="4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</row>
    <row r="9" spans="1:81" ht="12.75">
      <c r="A9" s="120" t="s">
        <v>198</v>
      </c>
      <c r="B9" s="120"/>
      <c r="C9" s="120"/>
      <c r="D9" s="120"/>
      <c r="E9" s="120"/>
      <c r="F9" s="120"/>
      <c r="G9" s="120"/>
      <c r="H9" s="120"/>
      <c r="I9" s="120"/>
      <c r="J9" s="120" t="s">
        <v>198</v>
      </c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277" t="s">
        <v>479</v>
      </c>
      <c r="Z9" s="120"/>
      <c r="AA9" s="120"/>
      <c r="AB9" s="120"/>
      <c r="AC9" s="120"/>
      <c r="AD9" s="120"/>
      <c r="AE9" s="120"/>
      <c r="AF9" s="120"/>
      <c r="AG9" s="120"/>
      <c r="AH9" s="277" t="s">
        <v>479</v>
      </c>
      <c r="AI9" s="120"/>
      <c r="AJ9" s="120"/>
      <c r="AK9" s="120"/>
      <c r="AL9" s="120"/>
      <c r="AM9" s="120"/>
      <c r="AN9" s="120"/>
      <c r="AO9" s="120"/>
      <c r="AP9" s="120"/>
      <c r="AQ9" s="277" t="s">
        <v>479</v>
      </c>
      <c r="AR9" s="120"/>
      <c r="AS9" s="120"/>
      <c r="AT9" s="145" t="s">
        <v>179</v>
      </c>
      <c r="AU9" s="146"/>
      <c r="AV9" s="146"/>
      <c r="AW9" s="146"/>
      <c r="AX9" s="146"/>
      <c r="AY9" s="147"/>
      <c r="AZ9" s="282"/>
      <c r="BA9" s="283">
        <v>0</v>
      </c>
      <c r="BB9" s="284">
        <f>AZ9*BA9</f>
        <v>0</v>
      </c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</row>
    <row r="10" spans="1:81" ht="12.7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45" t="s">
        <v>180</v>
      </c>
      <c r="AU10" s="146"/>
      <c r="AV10" s="146"/>
      <c r="AW10" s="146"/>
      <c r="AX10" s="146"/>
      <c r="AY10" s="147"/>
      <c r="AZ10" s="155">
        <f>I80+I72</f>
        <v>6376.9999999999945</v>
      </c>
      <c r="BA10" s="285">
        <v>2.67</v>
      </c>
      <c r="BB10" s="284">
        <f>AZ10*BA10</f>
        <v>17026.589999999986</v>
      </c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</row>
    <row r="11" spans="1:81" ht="12.75">
      <c r="A11" s="143" t="s">
        <v>335</v>
      </c>
      <c r="B11" s="171" t="s">
        <v>199</v>
      </c>
      <c r="C11" s="143" t="s">
        <v>200</v>
      </c>
      <c r="D11" s="224" t="s">
        <v>286</v>
      </c>
      <c r="E11" s="225"/>
      <c r="F11" s="143" t="s">
        <v>201</v>
      </c>
      <c r="G11" s="143" t="s">
        <v>404</v>
      </c>
      <c r="H11" s="143" t="s">
        <v>202</v>
      </c>
      <c r="I11" s="143" t="s">
        <v>191</v>
      </c>
      <c r="J11" s="143" t="s">
        <v>335</v>
      </c>
      <c r="K11" s="171" t="s">
        <v>199</v>
      </c>
      <c r="L11" s="143" t="s">
        <v>200</v>
      </c>
      <c r="M11" s="224" t="s">
        <v>464</v>
      </c>
      <c r="N11" s="225"/>
      <c r="O11" s="143" t="s">
        <v>201</v>
      </c>
      <c r="P11" s="143" t="s">
        <v>404</v>
      </c>
      <c r="Q11" s="143" t="s">
        <v>202</v>
      </c>
      <c r="R11" s="143" t="s">
        <v>191</v>
      </c>
      <c r="S11" s="143" t="s">
        <v>335</v>
      </c>
      <c r="T11" s="145" t="s">
        <v>336</v>
      </c>
      <c r="U11" s="146"/>
      <c r="V11" s="147"/>
      <c r="W11" s="102" t="s">
        <v>337</v>
      </c>
      <c r="X11" s="150"/>
      <c r="Y11" s="150"/>
      <c r="Z11" s="150"/>
      <c r="AA11" s="151"/>
      <c r="AB11" s="143" t="s">
        <v>335</v>
      </c>
      <c r="AC11" s="145" t="s">
        <v>336</v>
      </c>
      <c r="AD11" s="146"/>
      <c r="AE11" s="147"/>
      <c r="AF11" s="102" t="s">
        <v>337</v>
      </c>
      <c r="AG11" s="150"/>
      <c r="AH11" s="150"/>
      <c r="AI11" s="150"/>
      <c r="AJ11" s="151"/>
      <c r="AK11" s="143" t="s">
        <v>335</v>
      </c>
      <c r="AL11" s="145" t="s">
        <v>336</v>
      </c>
      <c r="AM11" s="146"/>
      <c r="AN11" s="147"/>
      <c r="AO11" s="102" t="s">
        <v>337</v>
      </c>
      <c r="AP11" s="150"/>
      <c r="AQ11" s="150"/>
      <c r="AR11" s="150"/>
      <c r="AS11" s="151"/>
      <c r="AT11" s="145" t="s">
        <v>181</v>
      </c>
      <c r="AU11" s="146"/>
      <c r="AV11" s="146"/>
      <c r="AW11" s="146"/>
      <c r="AX11" s="146"/>
      <c r="AY11" s="147"/>
      <c r="AZ11" s="280">
        <f>I74-I72</f>
        <v>4908883.800000036</v>
      </c>
      <c r="BA11" s="286">
        <v>2.67</v>
      </c>
      <c r="BB11" s="284">
        <f>AZ11*BA11</f>
        <v>13106719.746000096</v>
      </c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</row>
    <row r="12" spans="1:81" ht="12.75">
      <c r="A12" s="173"/>
      <c r="B12" s="173"/>
      <c r="C12" s="173"/>
      <c r="D12" s="143" t="s">
        <v>203</v>
      </c>
      <c r="E12" s="145" t="s">
        <v>204</v>
      </c>
      <c r="F12" s="173" t="s">
        <v>205</v>
      </c>
      <c r="G12" s="173" t="s">
        <v>190</v>
      </c>
      <c r="H12" s="173"/>
      <c r="I12" s="173" t="s">
        <v>206</v>
      </c>
      <c r="J12" s="173"/>
      <c r="K12" s="173"/>
      <c r="L12" s="173"/>
      <c r="M12" s="143" t="s">
        <v>203</v>
      </c>
      <c r="N12" s="145" t="s">
        <v>204</v>
      </c>
      <c r="O12" s="173" t="s">
        <v>205</v>
      </c>
      <c r="P12" s="173" t="s">
        <v>190</v>
      </c>
      <c r="Q12" s="173"/>
      <c r="R12" s="173" t="s">
        <v>206</v>
      </c>
      <c r="S12" s="144"/>
      <c r="T12" s="103"/>
      <c r="U12" s="148"/>
      <c r="V12" s="149"/>
      <c r="W12" s="152" t="s">
        <v>338</v>
      </c>
      <c r="X12" s="152" t="s">
        <v>339</v>
      </c>
      <c r="Y12" s="152" t="s">
        <v>340</v>
      </c>
      <c r="Z12" s="152" t="s">
        <v>341</v>
      </c>
      <c r="AA12" s="152" t="s">
        <v>342</v>
      </c>
      <c r="AB12" s="144"/>
      <c r="AC12" s="103"/>
      <c r="AD12" s="148"/>
      <c r="AE12" s="149"/>
      <c r="AF12" s="152" t="s">
        <v>338</v>
      </c>
      <c r="AG12" s="152" t="s">
        <v>339</v>
      </c>
      <c r="AH12" s="152" t="s">
        <v>340</v>
      </c>
      <c r="AI12" s="152" t="s">
        <v>341</v>
      </c>
      <c r="AJ12" s="152" t="s">
        <v>342</v>
      </c>
      <c r="AK12" s="144"/>
      <c r="AL12" s="103"/>
      <c r="AM12" s="148"/>
      <c r="AN12" s="149"/>
      <c r="AO12" s="152" t="s">
        <v>338</v>
      </c>
      <c r="AP12" s="152" t="s">
        <v>339</v>
      </c>
      <c r="AQ12" s="152" t="s">
        <v>340</v>
      </c>
      <c r="AR12" s="152" t="s">
        <v>341</v>
      </c>
      <c r="AS12" s="152" t="s">
        <v>342</v>
      </c>
      <c r="AT12" s="102" t="s">
        <v>173</v>
      </c>
      <c r="AU12" s="150"/>
      <c r="AV12" s="150"/>
      <c r="AW12" s="150"/>
      <c r="AX12" s="150"/>
      <c r="AY12" s="151"/>
      <c r="AZ12" s="280"/>
      <c r="BA12" s="257"/>
      <c r="BB12" s="284">
        <f>BA12*AZ12</f>
        <v>0</v>
      </c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</row>
    <row r="13" spans="1:81" ht="12.75">
      <c r="A13" s="144"/>
      <c r="B13" s="144"/>
      <c r="C13" s="144"/>
      <c r="D13" s="144" t="s">
        <v>207</v>
      </c>
      <c r="E13" s="103" t="s">
        <v>207</v>
      </c>
      <c r="F13" s="144" t="s">
        <v>208</v>
      </c>
      <c r="G13" s="144"/>
      <c r="H13" s="144"/>
      <c r="I13" s="144"/>
      <c r="J13" s="144"/>
      <c r="K13" s="144"/>
      <c r="L13" s="144"/>
      <c r="M13" s="144" t="s">
        <v>207</v>
      </c>
      <c r="N13" s="103" t="s">
        <v>207</v>
      </c>
      <c r="O13" s="144" t="s">
        <v>208</v>
      </c>
      <c r="P13" s="144"/>
      <c r="Q13" s="144"/>
      <c r="R13" s="144"/>
      <c r="S13" s="152">
        <v>1</v>
      </c>
      <c r="T13" s="96" t="s">
        <v>159</v>
      </c>
      <c r="U13" s="96"/>
      <c r="V13" s="96"/>
      <c r="W13" s="155">
        <f aca="true" t="shared" si="0" ref="W13:W25">SUM(X13:AA13)</f>
        <v>5752801.200000015</v>
      </c>
      <c r="X13" s="155">
        <f>SUM(X14:X26)</f>
        <v>4468280.000000015</v>
      </c>
      <c r="Y13" s="155">
        <f>SUM(Y14:Y26)</f>
        <v>0</v>
      </c>
      <c r="Z13" s="155">
        <f>SUM(Z14:Z25)</f>
        <v>1284521.2000000002</v>
      </c>
      <c r="AA13" s="152">
        <f>SUM(AA14:AA26)</f>
        <v>0</v>
      </c>
      <c r="AB13" s="152"/>
      <c r="AC13" s="96" t="s">
        <v>136</v>
      </c>
      <c r="AD13" s="96"/>
      <c r="AE13" s="96"/>
      <c r="AF13" s="163">
        <f>SUM(AG13:AJ13)</f>
        <v>54157</v>
      </c>
      <c r="AG13" s="155">
        <f>SUM(AG15:AG21)</f>
        <v>46855</v>
      </c>
      <c r="AH13" s="155">
        <f>SUM(AH15:AH21)</f>
        <v>0</v>
      </c>
      <c r="AI13" s="155">
        <f>SUM(AI15:AI21)</f>
        <v>7302</v>
      </c>
      <c r="AJ13" s="152">
        <f>SUM(AJ15:AJ21)</f>
        <v>0</v>
      </c>
      <c r="AK13" s="171">
        <v>1</v>
      </c>
      <c r="AL13" s="143" t="s">
        <v>136</v>
      </c>
      <c r="AM13" s="143"/>
      <c r="AN13" s="143"/>
      <c r="AO13" s="175">
        <f>SUM(AP13:AS13)</f>
        <v>10988</v>
      </c>
      <c r="AP13" s="175">
        <f>SUM(AP15:AP16)</f>
        <v>0</v>
      </c>
      <c r="AQ13" s="175">
        <f>SUM(AQ15:AQ16)</f>
        <v>0</v>
      </c>
      <c r="AR13" s="175">
        <f>SUM(AR15:AR19)</f>
        <v>10988</v>
      </c>
      <c r="AS13" s="171">
        <f>SUM(AS15:AS16)</f>
        <v>0</v>
      </c>
      <c r="AT13" s="144" t="s">
        <v>423</v>
      </c>
      <c r="AU13" s="144"/>
      <c r="AV13" s="144"/>
      <c r="AW13" s="144"/>
      <c r="AX13" s="144"/>
      <c r="AY13" s="144"/>
      <c r="AZ13" s="280">
        <f>SUM(AZ14:AZ20)</f>
        <v>492.99999999999955</v>
      </c>
      <c r="BA13" s="287"/>
      <c r="BB13" s="284">
        <f>SUM(BB14:BB20)</f>
        <v>1515.7192499999992</v>
      </c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</row>
    <row r="14" spans="1:81" ht="12.75">
      <c r="A14" s="152">
        <v>1</v>
      </c>
      <c r="B14" s="152">
        <v>2</v>
      </c>
      <c r="C14" s="152">
        <v>3</v>
      </c>
      <c r="D14" s="152">
        <v>4</v>
      </c>
      <c r="E14" s="152">
        <v>5</v>
      </c>
      <c r="F14" s="152">
        <v>6</v>
      </c>
      <c r="G14" s="152">
        <v>7</v>
      </c>
      <c r="H14" s="152">
        <v>8</v>
      </c>
      <c r="I14" s="152">
        <v>9</v>
      </c>
      <c r="J14" s="152">
        <v>1</v>
      </c>
      <c r="K14" s="152">
        <v>2</v>
      </c>
      <c r="L14" s="152">
        <v>3</v>
      </c>
      <c r="M14" s="152">
        <v>4</v>
      </c>
      <c r="N14" s="152">
        <v>5</v>
      </c>
      <c r="O14" s="152">
        <v>6</v>
      </c>
      <c r="P14" s="152">
        <v>7</v>
      </c>
      <c r="Q14" s="152">
        <v>8</v>
      </c>
      <c r="R14" s="152">
        <v>9</v>
      </c>
      <c r="S14" s="170" t="s">
        <v>145</v>
      </c>
      <c r="T14" s="145" t="s">
        <v>121</v>
      </c>
      <c r="U14" s="146"/>
      <c r="V14" s="146"/>
      <c r="W14" s="163">
        <f t="shared" si="0"/>
        <v>3000900.0000000116</v>
      </c>
      <c r="X14" s="193">
        <f>I22</f>
        <v>3000900.0000000116</v>
      </c>
      <c r="Y14" s="171">
        <v>0</v>
      </c>
      <c r="Z14" s="171">
        <v>0</v>
      </c>
      <c r="AA14" s="171">
        <v>0</v>
      </c>
      <c r="AB14" s="156">
        <v>1</v>
      </c>
      <c r="AC14" s="145" t="s">
        <v>167</v>
      </c>
      <c r="AD14" s="146"/>
      <c r="AE14" s="147"/>
      <c r="AF14" s="162"/>
      <c r="AG14" s="165"/>
      <c r="AH14" s="165"/>
      <c r="AI14" s="165"/>
      <c r="AJ14" s="303"/>
      <c r="AK14" s="319"/>
      <c r="AL14" s="145" t="s">
        <v>443</v>
      </c>
      <c r="AM14" s="146"/>
      <c r="AN14" s="147"/>
      <c r="AO14" s="175"/>
      <c r="AP14" s="171"/>
      <c r="AQ14" s="171"/>
      <c r="AR14" s="175"/>
      <c r="AS14" s="171"/>
      <c r="AT14" s="147" t="s">
        <v>174</v>
      </c>
      <c r="AU14" s="143"/>
      <c r="AV14" s="143"/>
      <c r="AW14" s="143"/>
      <c r="AX14" s="143"/>
      <c r="AY14" s="143"/>
      <c r="AZ14" s="155">
        <f>AS56-AZ15</f>
        <v>0</v>
      </c>
      <c r="BA14" s="288"/>
      <c r="BB14" s="284">
        <f>AZ14*BA14</f>
        <v>0</v>
      </c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</row>
    <row r="15" spans="1:81" ht="12.75">
      <c r="A15" s="103"/>
      <c r="B15" s="148"/>
      <c r="C15" s="320" t="s">
        <v>209</v>
      </c>
      <c r="D15" s="320"/>
      <c r="E15" s="148"/>
      <c r="F15" s="148"/>
      <c r="G15" s="148"/>
      <c r="H15" s="148"/>
      <c r="I15" s="149"/>
      <c r="J15" s="103"/>
      <c r="K15" s="148"/>
      <c r="L15" s="148" t="s">
        <v>209</v>
      </c>
      <c r="M15" s="148"/>
      <c r="N15" s="148"/>
      <c r="O15" s="148"/>
      <c r="P15" s="148"/>
      <c r="Q15" s="148"/>
      <c r="R15" s="149"/>
      <c r="S15" s="157" t="s">
        <v>146</v>
      </c>
      <c r="T15" s="159" t="s">
        <v>122</v>
      </c>
      <c r="U15" s="160"/>
      <c r="V15" s="160"/>
      <c r="W15" s="163">
        <f t="shared" si="0"/>
        <v>231840.00000000064</v>
      </c>
      <c r="X15" s="186">
        <f>I27+I26</f>
        <v>231840.00000000064</v>
      </c>
      <c r="Y15" s="168">
        <v>0</v>
      </c>
      <c r="Z15" s="163">
        <v>0</v>
      </c>
      <c r="AA15" s="168">
        <v>0</v>
      </c>
      <c r="AB15" s="157" t="s">
        <v>145</v>
      </c>
      <c r="AC15" s="159" t="s">
        <v>343</v>
      </c>
      <c r="AD15" s="160"/>
      <c r="AE15" s="161"/>
      <c r="AF15" s="163">
        <f>AG15+AH15+AI15+AJ15</f>
        <v>46855</v>
      </c>
      <c r="AG15" s="163">
        <f>SUM(I52:I55)</f>
        <v>46855</v>
      </c>
      <c r="AH15" s="168">
        <v>0</v>
      </c>
      <c r="AI15" s="163">
        <v>0</v>
      </c>
      <c r="AJ15" s="192">
        <v>0</v>
      </c>
      <c r="AK15" s="157" t="s">
        <v>145</v>
      </c>
      <c r="AL15" s="159" t="s">
        <v>84</v>
      </c>
      <c r="AM15" s="160"/>
      <c r="AN15" s="161"/>
      <c r="AO15" s="163">
        <f>AP15+AQ15+AR15+AS15</f>
        <v>356</v>
      </c>
      <c r="AP15" s="168">
        <v>0</v>
      </c>
      <c r="AQ15" s="168">
        <v>0</v>
      </c>
      <c r="AR15" s="163">
        <f>I64+I65+I66</f>
        <v>356</v>
      </c>
      <c r="AS15" s="168">
        <v>0</v>
      </c>
      <c r="AT15" s="147" t="s">
        <v>174</v>
      </c>
      <c r="AU15" s="143"/>
      <c r="AV15" s="143"/>
      <c r="AW15" s="143"/>
      <c r="AX15" s="143"/>
      <c r="AY15" s="143"/>
      <c r="AZ15" s="155">
        <f>AS56/100*80</f>
        <v>0</v>
      </c>
      <c r="BA15" s="289"/>
      <c r="BB15" s="284">
        <f>AZ15*BA15</f>
        <v>0</v>
      </c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</row>
    <row r="16" spans="1:81" ht="12.75">
      <c r="A16" s="96"/>
      <c r="B16" s="102" t="s">
        <v>210</v>
      </c>
      <c r="C16" s="150"/>
      <c r="D16" s="150"/>
      <c r="E16" s="150"/>
      <c r="F16" s="150"/>
      <c r="G16" s="150"/>
      <c r="H16" s="150"/>
      <c r="I16" s="151"/>
      <c r="J16" s="96"/>
      <c r="K16" s="102" t="s">
        <v>210</v>
      </c>
      <c r="L16" s="150"/>
      <c r="M16" s="150"/>
      <c r="N16" s="150"/>
      <c r="O16" s="150"/>
      <c r="P16" s="150"/>
      <c r="Q16" s="150"/>
      <c r="R16" s="151"/>
      <c r="S16" s="157" t="s">
        <v>147</v>
      </c>
      <c r="T16" s="159" t="s">
        <v>123</v>
      </c>
      <c r="U16" s="160"/>
      <c r="V16" s="160"/>
      <c r="W16" s="163">
        <f t="shared" si="0"/>
        <v>294329.0000000013</v>
      </c>
      <c r="X16" s="186">
        <f>I29-R18-R19-R20-R21+I28</f>
        <v>294329.0000000013</v>
      </c>
      <c r="Y16" s="168">
        <v>0</v>
      </c>
      <c r="Z16" s="163">
        <v>0</v>
      </c>
      <c r="AA16" s="168">
        <v>0</v>
      </c>
      <c r="AB16" s="157" t="s">
        <v>146</v>
      </c>
      <c r="AC16" s="159" t="s">
        <v>172</v>
      </c>
      <c r="AD16" s="160"/>
      <c r="AE16" s="161"/>
      <c r="AF16" s="163">
        <f>AG16+AH16+AI16+AJ16</f>
        <v>2092</v>
      </c>
      <c r="AG16" s="168">
        <v>0</v>
      </c>
      <c r="AH16" s="168">
        <v>0</v>
      </c>
      <c r="AI16" s="163">
        <f>I49+I50+I51</f>
        <v>2092</v>
      </c>
      <c r="AJ16" s="192">
        <v>0</v>
      </c>
      <c r="AK16" s="157" t="s">
        <v>146</v>
      </c>
      <c r="AL16" s="159" t="s">
        <v>277</v>
      </c>
      <c r="AM16" s="160"/>
      <c r="AN16" s="161"/>
      <c r="AO16" s="163">
        <f>AP16+AQ16+AR16+AS16</f>
        <v>414</v>
      </c>
      <c r="AP16" s="168">
        <v>0</v>
      </c>
      <c r="AQ16" s="168">
        <v>0</v>
      </c>
      <c r="AR16" s="163">
        <f>I62+I63+I61</f>
        <v>414</v>
      </c>
      <c r="AS16" s="168">
        <v>0</v>
      </c>
      <c r="AT16" s="146" t="s">
        <v>141</v>
      </c>
      <c r="AU16" s="146"/>
      <c r="AV16" s="146"/>
      <c r="AW16" s="146"/>
      <c r="AX16" s="146"/>
      <c r="AY16" s="147"/>
      <c r="AZ16" s="280">
        <f>R20</f>
        <v>117.99999999999955</v>
      </c>
      <c r="BA16" s="290">
        <v>1.7712</v>
      </c>
      <c r="BB16" s="284">
        <f>AZ16*BA16</f>
        <v>209.0015999999992</v>
      </c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</row>
    <row r="17" spans="1:81" ht="12.75">
      <c r="A17" s="96"/>
      <c r="B17" s="102" t="s">
        <v>211</v>
      </c>
      <c r="C17" s="150"/>
      <c r="D17" s="150"/>
      <c r="E17" s="150"/>
      <c r="F17" s="150"/>
      <c r="G17" s="150"/>
      <c r="H17" s="150"/>
      <c r="I17" s="151"/>
      <c r="J17" s="152">
        <v>1</v>
      </c>
      <c r="K17" s="102" t="s">
        <v>211</v>
      </c>
      <c r="L17" s="150"/>
      <c r="M17" s="150"/>
      <c r="N17" s="150"/>
      <c r="O17" s="150"/>
      <c r="P17" s="150"/>
      <c r="Q17" s="150"/>
      <c r="R17" s="151"/>
      <c r="S17" s="157" t="s">
        <v>148</v>
      </c>
      <c r="T17" s="159" t="s">
        <v>124</v>
      </c>
      <c r="U17" s="160"/>
      <c r="V17" s="160"/>
      <c r="W17" s="163">
        <f t="shared" si="0"/>
        <v>72336.00000000175</v>
      </c>
      <c r="X17" s="186">
        <f>I31+I30</f>
        <v>72336.00000000175</v>
      </c>
      <c r="Y17" s="168">
        <v>0</v>
      </c>
      <c r="Z17" s="163">
        <v>0</v>
      </c>
      <c r="AA17" s="168">
        <v>0</v>
      </c>
      <c r="AB17" s="158" t="s">
        <v>147</v>
      </c>
      <c r="AC17" s="148" t="s">
        <v>156</v>
      </c>
      <c r="AD17" s="148"/>
      <c r="AE17" s="148"/>
      <c r="AF17" s="164">
        <f>AG17+AH17+AI17+AJ17</f>
        <v>5210</v>
      </c>
      <c r="AG17" s="169">
        <v>0</v>
      </c>
      <c r="AH17" s="169">
        <v>0</v>
      </c>
      <c r="AI17" s="164">
        <f>I56+I57</f>
        <v>5210</v>
      </c>
      <c r="AJ17" s="318">
        <v>0</v>
      </c>
      <c r="AK17" s="157" t="s">
        <v>147</v>
      </c>
      <c r="AL17" s="159" t="s">
        <v>135</v>
      </c>
      <c r="AM17" s="160"/>
      <c r="AN17" s="161"/>
      <c r="AO17" s="163">
        <f>AP17+AQ17+AR17+AS17</f>
        <v>6594</v>
      </c>
      <c r="AP17" s="168">
        <v>0</v>
      </c>
      <c r="AQ17" s="168">
        <v>0</v>
      </c>
      <c r="AR17" s="163">
        <f>I58+I59+I60</f>
        <v>6594</v>
      </c>
      <c r="AS17" s="168">
        <v>0</v>
      </c>
      <c r="AT17" s="146" t="s">
        <v>142</v>
      </c>
      <c r="AU17" s="146"/>
      <c r="AV17" s="146"/>
      <c r="AW17" s="146"/>
      <c r="AX17" s="146"/>
      <c r="AY17" s="147"/>
      <c r="AZ17" s="280">
        <f>R21</f>
        <v>110</v>
      </c>
      <c r="BA17" s="290">
        <v>0.82203</v>
      </c>
      <c r="BB17" s="284">
        <f>AZ17*BA17</f>
        <v>90.4233</v>
      </c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</row>
    <row r="18" spans="1:81" ht="12.75">
      <c r="A18" s="171">
        <v>1</v>
      </c>
      <c r="B18" s="143" t="s">
        <v>249</v>
      </c>
      <c r="C18" s="197">
        <v>109056121</v>
      </c>
      <c r="D18" s="211">
        <v>6746.2</v>
      </c>
      <c r="E18" s="211">
        <v>6809.8</v>
      </c>
      <c r="F18" s="155">
        <v>36000</v>
      </c>
      <c r="G18" s="212">
        <f>E18-D18</f>
        <v>63.600000000000364</v>
      </c>
      <c r="H18" s="96"/>
      <c r="I18" s="155">
        <f>F18*G18+H18</f>
        <v>2289600.000000013</v>
      </c>
      <c r="J18" s="171" t="s">
        <v>213</v>
      </c>
      <c r="K18" s="143" t="s">
        <v>290</v>
      </c>
      <c r="L18" s="171">
        <v>16654</v>
      </c>
      <c r="M18" s="234">
        <v>1806</v>
      </c>
      <c r="N18" s="234">
        <v>1900</v>
      </c>
      <c r="O18" s="171">
        <v>1</v>
      </c>
      <c r="P18" s="258">
        <f>N18-M18</f>
        <v>94</v>
      </c>
      <c r="Q18" s="259"/>
      <c r="R18" s="175">
        <f>O18*P18+Q18</f>
        <v>94</v>
      </c>
      <c r="S18" s="157" t="s">
        <v>153</v>
      </c>
      <c r="T18" s="159" t="s">
        <v>125</v>
      </c>
      <c r="U18" s="160"/>
      <c r="V18" s="160"/>
      <c r="W18" s="163">
        <f t="shared" si="0"/>
        <v>176976</v>
      </c>
      <c r="X18" s="186">
        <f>I33+I32</f>
        <v>176976</v>
      </c>
      <c r="Y18" s="168">
        <v>0</v>
      </c>
      <c r="Z18" s="168">
        <v>0</v>
      </c>
      <c r="AA18" s="168">
        <v>0</v>
      </c>
      <c r="AB18" s="179"/>
      <c r="AC18" s="160"/>
      <c r="AD18" s="160"/>
      <c r="AE18" s="160"/>
      <c r="AF18" s="180"/>
      <c r="AG18" s="181"/>
      <c r="AH18" s="181"/>
      <c r="AI18" s="180"/>
      <c r="AJ18" s="181"/>
      <c r="AK18" s="157" t="s">
        <v>148</v>
      </c>
      <c r="AL18" s="159" t="s">
        <v>158</v>
      </c>
      <c r="AM18" s="160"/>
      <c r="AN18" s="161"/>
      <c r="AO18" s="163">
        <f>AP18+AQ18+AR18+AS18</f>
        <v>303</v>
      </c>
      <c r="AP18" s="163">
        <v>0</v>
      </c>
      <c r="AQ18" s="168">
        <v>0</v>
      </c>
      <c r="AR18" s="163">
        <f>I69+I70+I71</f>
        <v>303</v>
      </c>
      <c r="AS18" s="168">
        <v>0</v>
      </c>
      <c r="AT18" s="146" t="s">
        <v>182</v>
      </c>
      <c r="AU18" s="146"/>
      <c r="AV18" s="146"/>
      <c r="AW18" s="146"/>
      <c r="AX18" s="146"/>
      <c r="AY18" s="147"/>
      <c r="AZ18" s="291">
        <f>R18+R19</f>
        <v>265</v>
      </c>
      <c r="BA18" s="292">
        <v>4.58979</v>
      </c>
      <c r="BB18" s="284">
        <f>AZ18*BA18</f>
        <v>1216.29435</v>
      </c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</row>
    <row r="19" spans="1:81" ht="12.75">
      <c r="A19" s="144"/>
      <c r="B19" s="103" t="s">
        <v>250</v>
      </c>
      <c r="C19" s="213">
        <v>109053225</v>
      </c>
      <c r="D19" s="211">
        <v>9584.5</v>
      </c>
      <c r="E19" s="211">
        <v>9735.7</v>
      </c>
      <c r="F19" s="155">
        <v>36000</v>
      </c>
      <c r="G19" s="212">
        <f>E19-D19</f>
        <v>151.20000000000073</v>
      </c>
      <c r="H19" s="96"/>
      <c r="I19" s="155">
        <f>F19*G19+H19</f>
        <v>5443200.000000026</v>
      </c>
      <c r="J19" s="144"/>
      <c r="K19" s="144" t="s">
        <v>291</v>
      </c>
      <c r="L19" s="144"/>
      <c r="M19" s="144"/>
      <c r="N19" s="144"/>
      <c r="O19" s="144"/>
      <c r="P19" s="185"/>
      <c r="Q19" s="260"/>
      <c r="R19" s="276">
        <v>171</v>
      </c>
      <c r="S19" s="157" t="s">
        <v>157</v>
      </c>
      <c r="T19" s="159" t="s">
        <v>126</v>
      </c>
      <c r="U19" s="160"/>
      <c r="V19" s="160"/>
      <c r="W19" s="163">
        <f t="shared" si="0"/>
        <v>594311.9999999998</v>
      </c>
      <c r="X19" s="186">
        <f>I35+I34</f>
        <v>594311.9999999998</v>
      </c>
      <c r="Y19" s="168">
        <v>0</v>
      </c>
      <c r="Z19" s="163">
        <v>0</v>
      </c>
      <c r="AA19" s="168">
        <v>0</v>
      </c>
      <c r="AB19" s="179"/>
      <c r="AC19" s="160"/>
      <c r="AD19" s="160"/>
      <c r="AE19" s="160"/>
      <c r="AF19" s="180"/>
      <c r="AG19" s="180"/>
      <c r="AH19" s="181"/>
      <c r="AI19" s="180"/>
      <c r="AJ19" s="181"/>
      <c r="AK19" s="158" t="s">
        <v>153</v>
      </c>
      <c r="AL19" s="103" t="s">
        <v>476</v>
      </c>
      <c r="AM19" s="148"/>
      <c r="AN19" s="149"/>
      <c r="AO19" s="164">
        <f>AP19+AQ19+AR19+AS19</f>
        <v>3321</v>
      </c>
      <c r="AP19" s="164"/>
      <c r="AQ19" s="169"/>
      <c r="AR19" s="164">
        <f>I67+I68-I69-I70-I71-I72</f>
        <v>3321</v>
      </c>
      <c r="AS19" s="169"/>
      <c r="AT19" s="146" t="s">
        <v>416</v>
      </c>
      <c r="AU19" s="146"/>
      <c r="AV19" s="146"/>
      <c r="AW19" s="146"/>
      <c r="AX19" s="146"/>
      <c r="AY19" s="147"/>
      <c r="AZ19" s="280"/>
      <c r="BA19" s="290"/>
      <c r="BB19" s="279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</row>
    <row r="20" spans="1:81" ht="12.75">
      <c r="A20" s="102"/>
      <c r="B20" s="150"/>
      <c r="C20" s="148"/>
      <c r="D20" s="150"/>
      <c r="E20" s="150"/>
      <c r="F20" s="214" t="s">
        <v>212</v>
      </c>
      <c r="G20" s="150"/>
      <c r="H20" s="151"/>
      <c r="I20" s="155">
        <f>I18+I19</f>
        <v>7732800.000000039</v>
      </c>
      <c r="J20" s="143" t="s">
        <v>219</v>
      </c>
      <c r="K20" s="143" t="s">
        <v>293</v>
      </c>
      <c r="L20" s="216">
        <v>635080400037721</v>
      </c>
      <c r="M20" s="211">
        <v>571.9</v>
      </c>
      <c r="N20" s="211">
        <v>577.8</v>
      </c>
      <c r="O20" s="152">
        <v>20</v>
      </c>
      <c r="P20" s="231">
        <f>N20-M20</f>
        <v>5.899999999999977</v>
      </c>
      <c r="Q20" s="261"/>
      <c r="R20" s="155">
        <f>O20*P20+Q20</f>
        <v>117.99999999999955</v>
      </c>
      <c r="S20" s="157" t="s">
        <v>161</v>
      </c>
      <c r="T20" s="159" t="s">
        <v>127</v>
      </c>
      <c r="U20" s="160"/>
      <c r="V20" s="160"/>
      <c r="W20" s="163">
        <f t="shared" si="0"/>
        <v>93734.99999999984</v>
      </c>
      <c r="X20" s="186">
        <f>I37-I76+I36</f>
        <v>93734.99999999984</v>
      </c>
      <c r="Y20" s="168">
        <v>0</v>
      </c>
      <c r="Z20" s="163">
        <v>0</v>
      </c>
      <c r="AA20" s="168">
        <v>0</v>
      </c>
      <c r="AB20" s="179"/>
      <c r="AC20" s="160"/>
      <c r="AD20" s="160"/>
      <c r="AE20" s="160"/>
      <c r="AF20" s="180"/>
      <c r="AG20" s="180"/>
      <c r="AH20" s="181"/>
      <c r="AI20" s="180"/>
      <c r="AJ20" s="181"/>
      <c r="AK20" s="179"/>
      <c r="AL20" s="160"/>
      <c r="AM20" s="160"/>
      <c r="AN20" s="160"/>
      <c r="AO20" s="180"/>
      <c r="AP20" s="181"/>
      <c r="AQ20" s="182"/>
      <c r="AR20" s="180"/>
      <c r="AS20" s="181"/>
      <c r="AT20" s="102"/>
      <c r="AU20" s="146"/>
      <c r="AV20" s="146"/>
      <c r="AW20" s="146"/>
      <c r="AX20" s="146"/>
      <c r="AY20" s="147"/>
      <c r="AZ20" s="280"/>
      <c r="BA20" s="290"/>
      <c r="BB20" s="279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</row>
    <row r="21" spans="1:81" ht="12.75">
      <c r="A21" s="96" t="s">
        <v>213</v>
      </c>
      <c r="B21" s="102" t="s">
        <v>466</v>
      </c>
      <c r="C21" s="150"/>
      <c r="D21" s="150"/>
      <c r="E21" s="150"/>
      <c r="F21" s="150"/>
      <c r="G21" s="150"/>
      <c r="H21" s="150"/>
      <c r="I21" s="151"/>
      <c r="J21" s="144"/>
      <c r="K21" s="144" t="s">
        <v>292</v>
      </c>
      <c r="L21" s="216">
        <v>635080400037721</v>
      </c>
      <c r="M21" s="211">
        <v>673.8</v>
      </c>
      <c r="N21" s="211">
        <v>679.3</v>
      </c>
      <c r="O21" s="152">
        <v>20</v>
      </c>
      <c r="P21" s="231">
        <f>N21-M21</f>
        <v>5.5</v>
      </c>
      <c r="Q21" s="261"/>
      <c r="R21" s="155">
        <f>O21*P21+Q21</f>
        <v>110</v>
      </c>
      <c r="S21" s="157" t="s">
        <v>162</v>
      </c>
      <c r="T21" s="159" t="s">
        <v>128</v>
      </c>
      <c r="U21" s="160"/>
      <c r="V21" s="160"/>
      <c r="W21" s="163">
        <f t="shared" si="0"/>
        <v>3851.9999999998413</v>
      </c>
      <c r="X21" s="186">
        <f>I39-I78+I38</f>
        <v>3851.9999999998413</v>
      </c>
      <c r="Y21" s="168">
        <v>0</v>
      </c>
      <c r="Z21" s="168">
        <v>0</v>
      </c>
      <c r="AA21" s="168">
        <v>0</v>
      </c>
      <c r="AB21" s="179"/>
      <c r="AC21" s="160"/>
      <c r="AD21" s="160"/>
      <c r="AE21" s="160"/>
      <c r="AF21" s="180"/>
      <c r="AG21" s="181"/>
      <c r="AH21" s="181"/>
      <c r="AI21" s="180"/>
      <c r="AJ21" s="181"/>
      <c r="AK21" s="179"/>
      <c r="AL21" s="160"/>
      <c r="AM21" s="160"/>
      <c r="AN21" s="160"/>
      <c r="AO21" s="180"/>
      <c r="AP21" s="181"/>
      <c r="AQ21" s="182"/>
      <c r="AR21" s="180"/>
      <c r="AS21" s="181"/>
      <c r="AT21" s="255" t="s">
        <v>22</v>
      </c>
      <c r="AU21" s="256"/>
      <c r="AV21" s="256"/>
      <c r="AW21" s="256"/>
      <c r="AX21" s="146"/>
      <c r="AY21" s="147"/>
      <c r="AZ21" s="280"/>
      <c r="BA21" s="293"/>
      <c r="BB21" s="29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</row>
    <row r="22" spans="1:81" ht="12.75">
      <c r="A22" s="96" t="s">
        <v>215</v>
      </c>
      <c r="B22" s="96" t="s">
        <v>216</v>
      </c>
      <c r="C22" s="197">
        <v>109056126</v>
      </c>
      <c r="D22" s="211">
        <v>7068.2</v>
      </c>
      <c r="E22" s="211">
        <v>7211.1</v>
      </c>
      <c r="F22" s="155">
        <v>21000</v>
      </c>
      <c r="G22" s="212">
        <f>E22-D22</f>
        <v>142.90000000000055</v>
      </c>
      <c r="H22" s="96"/>
      <c r="I22" s="155">
        <f>F22*G22+H22</f>
        <v>3000900.0000000116</v>
      </c>
      <c r="J22" s="102"/>
      <c r="K22" s="245"/>
      <c r="L22" s="245"/>
      <c r="M22" s="245"/>
      <c r="N22" s="245"/>
      <c r="O22" s="245"/>
      <c r="P22" s="246" t="s">
        <v>274</v>
      </c>
      <c r="Q22" s="247"/>
      <c r="R22" s="155">
        <f>R18+R20+R21+R19</f>
        <v>492.99999999999955</v>
      </c>
      <c r="S22" s="157" t="s">
        <v>163</v>
      </c>
      <c r="T22" s="159" t="s">
        <v>129</v>
      </c>
      <c r="U22" s="160"/>
      <c r="V22" s="160"/>
      <c r="W22" s="163">
        <f t="shared" si="0"/>
        <v>1250100</v>
      </c>
      <c r="X22" s="186">
        <v>0</v>
      </c>
      <c r="Y22" s="168">
        <v>0</v>
      </c>
      <c r="Z22" s="163">
        <f>I25</f>
        <v>1250100</v>
      </c>
      <c r="AA22" s="168">
        <v>0</v>
      </c>
      <c r="AB22" s="179"/>
      <c r="AC22" s="160"/>
      <c r="AD22" s="160"/>
      <c r="AE22" s="160"/>
      <c r="AF22" s="180"/>
      <c r="AG22" s="181"/>
      <c r="AH22" s="182"/>
      <c r="AI22" s="180"/>
      <c r="AJ22" s="181"/>
      <c r="AK22" s="179"/>
      <c r="AL22" s="160"/>
      <c r="AM22" s="160"/>
      <c r="AN22" s="160"/>
      <c r="AO22" s="180"/>
      <c r="AP22" s="181"/>
      <c r="AQ22" s="182"/>
      <c r="AR22" s="180"/>
      <c r="AS22" s="181"/>
      <c r="AT22" s="145" t="s">
        <v>23</v>
      </c>
      <c r="AU22" s="146"/>
      <c r="AV22" s="146"/>
      <c r="AW22" s="146"/>
      <c r="AX22" s="146"/>
      <c r="AY22" s="147"/>
      <c r="AZ22" s="280"/>
      <c r="BA22" s="293"/>
      <c r="BB22" s="279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</row>
    <row r="23" spans="1:81" ht="12.75">
      <c r="A23" s="96" t="s">
        <v>219</v>
      </c>
      <c r="B23" s="102" t="s">
        <v>220</v>
      </c>
      <c r="C23" s="150"/>
      <c r="D23" s="150"/>
      <c r="E23" s="150"/>
      <c r="F23" s="150"/>
      <c r="G23" s="150"/>
      <c r="H23" s="150"/>
      <c r="I23" s="151"/>
      <c r="J23" s="145"/>
      <c r="K23" s="146"/>
      <c r="L23" s="146"/>
      <c r="M23" s="146"/>
      <c r="N23" s="146"/>
      <c r="O23" s="146"/>
      <c r="P23" s="248"/>
      <c r="Q23" s="249"/>
      <c r="R23" s="250"/>
      <c r="S23" s="157" t="s">
        <v>164</v>
      </c>
      <c r="T23" s="160" t="s">
        <v>130</v>
      </c>
      <c r="U23" s="160"/>
      <c r="V23" s="160"/>
      <c r="W23" s="163">
        <f t="shared" si="0"/>
        <v>845.999999999918</v>
      </c>
      <c r="X23" s="186">
        <v>0</v>
      </c>
      <c r="Y23" s="168">
        <v>0</v>
      </c>
      <c r="Z23" s="163">
        <f>I41+I40</f>
        <v>845.999999999918</v>
      </c>
      <c r="AA23" s="168">
        <v>0</v>
      </c>
      <c r="AB23" s="153"/>
      <c r="AC23" s="120" t="s">
        <v>189</v>
      </c>
      <c r="AD23" s="120"/>
      <c r="AE23" s="120"/>
      <c r="AF23" s="154"/>
      <c r="AG23" s="154"/>
      <c r="AH23" s="154"/>
      <c r="AI23" s="154"/>
      <c r="AJ23" s="154"/>
      <c r="AK23" s="153"/>
      <c r="AL23" s="120" t="s">
        <v>278</v>
      </c>
      <c r="AM23" s="120"/>
      <c r="AN23" s="120"/>
      <c r="AO23" s="154"/>
      <c r="AP23" s="154"/>
      <c r="AQ23" s="154"/>
      <c r="AR23" s="154"/>
      <c r="AS23" s="154"/>
      <c r="AT23" s="262" t="s">
        <v>139</v>
      </c>
      <c r="AU23" s="245"/>
      <c r="AV23" s="245"/>
      <c r="AW23" s="245"/>
      <c r="AX23" s="245"/>
      <c r="AY23" s="263"/>
      <c r="AZ23" s="295"/>
      <c r="BA23" s="287"/>
      <c r="BB23" s="28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</row>
    <row r="24" spans="1:81" ht="12.75">
      <c r="A24" s="143" t="s">
        <v>221</v>
      </c>
      <c r="B24" s="143" t="s">
        <v>224</v>
      </c>
      <c r="C24" s="197"/>
      <c r="D24" s="171"/>
      <c r="E24" s="171"/>
      <c r="F24" s="175"/>
      <c r="G24" s="171"/>
      <c r="H24" s="171"/>
      <c r="I24" s="171"/>
      <c r="J24" s="159" t="s">
        <v>275</v>
      </c>
      <c r="K24" s="160"/>
      <c r="L24" s="160"/>
      <c r="M24" s="160"/>
      <c r="N24" s="160"/>
      <c r="O24" s="160"/>
      <c r="P24" s="190"/>
      <c r="Q24" s="238"/>
      <c r="R24" s="251"/>
      <c r="S24" s="157" t="s">
        <v>165</v>
      </c>
      <c r="T24" s="160" t="s">
        <v>131</v>
      </c>
      <c r="U24" s="160"/>
      <c r="V24" s="160"/>
      <c r="W24" s="163">
        <f t="shared" si="0"/>
        <v>2700.000000000021</v>
      </c>
      <c r="X24" s="186">
        <v>0</v>
      </c>
      <c r="Y24" s="168">
        <v>0</v>
      </c>
      <c r="Z24" s="163">
        <f>I43+I42</f>
        <v>2700.000000000021</v>
      </c>
      <c r="AA24" s="168">
        <v>0</v>
      </c>
      <c r="AB24" s="153"/>
      <c r="AC24" s="120" t="s">
        <v>449</v>
      </c>
      <c r="AD24" s="120"/>
      <c r="AE24" s="120"/>
      <c r="AF24" s="120"/>
      <c r="AG24" s="120"/>
      <c r="AH24" s="120"/>
      <c r="AI24" s="120"/>
      <c r="AJ24" s="120"/>
      <c r="AK24" s="153"/>
      <c r="AL24" s="120" t="s">
        <v>449</v>
      </c>
      <c r="AM24" s="120"/>
      <c r="AN24" s="120"/>
      <c r="AO24" s="120"/>
      <c r="AP24" s="120"/>
      <c r="AQ24" s="120"/>
      <c r="AR24" s="120"/>
      <c r="AS24" s="120"/>
      <c r="AT24" s="103" t="s">
        <v>183</v>
      </c>
      <c r="AU24" s="148"/>
      <c r="AV24" s="148"/>
      <c r="AW24" s="148"/>
      <c r="AX24" s="148"/>
      <c r="AY24" s="149"/>
      <c r="AZ24" s="296">
        <v>4.582</v>
      </c>
      <c r="BA24" s="297">
        <v>17511</v>
      </c>
      <c r="BB24" s="284">
        <f>AZ24*BA24</f>
        <v>80235.402</v>
      </c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</row>
    <row r="25" spans="1:81" ht="12.75">
      <c r="A25" s="144"/>
      <c r="B25" s="144" t="s">
        <v>222</v>
      </c>
      <c r="C25" s="198">
        <v>109052170</v>
      </c>
      <c r="D25" s="226">
        <v>26494.3</v>
      </c>
      <c r="E25" s="226">
        <v>27188.8</v>
      </c>
      <c r="F25" s="164">
        <v>1800</v>
      </c>
      <c r="G25" s="227">
        <f aca="true" t="shared" si="1" ref="G25:G45">E25-D25</f>
        <v>694.5</v>
      </c>
      <c r="H25" s="164"/>
      <c r="I25" s="164">
        <f>F25*G25+H25</f>
        <v>1250100</v>
      </c>
      <c r="J25" s="222" t="s">
        <v>284</v>
      </c>
      <c r="K25" s="223"/>
      <c r="L25" s="223"/>
      <c r="M25" s="191"/>
      <c r="N25" s="148"/>
      <c r="O25" s="148"/>
      <c r="P25" s="148"/>
      <c r="Q25" s="148"/>
      <c r="R25" s="209"/>
      <c r="S25" s="158" t="s">
        <v>166</v>
      </c>
      <c r="T25" s="148" t="s">
        <v>132</v>
      </c>
      <c r="U25" s="148"/>
      <c r="V25" s="148"/>
      <c r="W25" s="164">
        <f t="shared" si="0"/>
        <v>30875.20000000023</v>
      </c>
      <c r="X25" s="187">
        <v>0</v>
      </c>
      <c r="Y25" s="169">
        <v>0</v>
      </c>
      <c r="Z25" s="164">
        <f>I45+I44</f>
        <v>30875.20000000023</v>
      </c>
      <c r="AA25" s="169">
        <v>0</v>
      </c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02" t="s">
        <v>184</v>
      </c>
      <c r="AU25" s="150"/>
      <c r="AV25" s="150"/>
      <c r="AW25" s="150"/>
      <c r="AX25" s="160"/>
      <c r="AY25" s="161"/>
      <c r="AZ25" s="296">
        <f>(X13+AG13+AP13)/1000</f>
        <v>4515.135000000015</v>
      </c>
      <c r="BA25" s="279">
        <v>6</v>
      </c>
      <c r="BB25" s="284">
        <f>AZ25*BA25</f>
        <v>27090.81000000009</v>
      </c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1" ht="12.75">
      <c r="A26" s="143" t="s">
        <v>223</v>
      </c>
      <c r="B26" s="143" t="s">
        <v>235</v>
      </c>
      <c r="C26" s="197">
        <v>623125232</v>
      </c>
      <c r="D26" s="234">
        <v>5.6</v>
      </c>
      <c r="E26" s="234">
        <v>63.8</v>
      </c>
      <c r="F26" s="175">
        <v>1800</v>
      </c>
      <c r="G26" s="233">
        <f t="shared" si="1"/>
        <v>58.199999999999996</v>
      </c>
      <c r="H26" s="171"/>
      <c r="I26" s="175">
        <f>G26*F26</f>
        <v>104759.99999999999</v>
      </c>
      <c r="J26" s="120"/>
      <c r="K26" s="160"/>
      <c r="L26" s="160"/>
      <c r="M26" s="160"/>
      <c r="N26" s="160"/>
      <c r="O26" s="160"/>
      <c r="P26" s="190"/>
      <c r="Q26" s="238"/>
      <c r="R26" s="237"/>
      <c r="S26" s="179"/>
      <c r="T26" s="160"/>
      <c r="U26" s="160"/>
      <c r="V26" s="160"/>
      <c r="W26" s="180"/>
      <c r="X26" s="180"/>
      <c r="Y26" s="181"/>
      <c r="Z26" s="180"/>
      <c r="AA26" s="181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03" t="s">
        <v>185</v>
      </c>
      <c r="AU26" s="148"/>
      <c r="AV26" s="148"/>
      <c r="AW26" s="148"/>
      <c r="AX26" s="146"/>
      <c r="AY26" s="147"/>
      <c r="AZ26" s="296">
        <v>1.197</v>
      </c>
      <c r="BA26" s="279">
        <v>17511</v>
      </c>
      <c r="BB26" s="279">
        <f>AZ26*BA26</f>
        <v>20960.667</v>
      </c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1" ht="12.75">
      <c r="A27" s="144"/>
      <c r="B27" s="144" t="s">
        <v>222</v>
      </c>
      <c r="C27" s="169">
        <v>205071</v>
      </c>
      <c r="D27" s="228">
        <v>11321.1</v>
      </c>
      <c r="E27" s="228">
        <v>11391.7</v>
      </c>
      <c r="F27" s="164">
        <v>1800</v>
      </c>
      <c r="G27" s="227">
        <f t="shared" si="1"/>
        <v>70.60000000000036</v>
      </c>
      <c r="H27" s="169"/>
      <c r="I27" s="164">
        <f>F27*G27+H27</f>
        <v>127080.00000000065</v>
      </c>
      <c r="J27" s="160" t="s">
        <v>279</v>
      </c>
      <c r="K27" s="160"/>
      <c r="L27" s="264"/>
      <c r="M27" s="181"/>
      <c r="N27" s="265"/>
      <c r="O27" s="265"/>
      <c r="P27" s="188"/>
      <c r="Q27" s="160"/>
      <c r="R27" s="190"/>
      <c r="S27" s="120"/>
      <c r="T27" s="120"/>
      <c r="U27" s="120"/>
      <c r="V27" s="120"/>
      <c r="W27" s="120"/>
      <c r="X27" s="120"/>
      <c r="Y27" s="120"/>
      <c r="Z27" s="120"/>
      <c r="AA27" s="120"/>
      <c r="AB27" s="120" t="s">
        <v>447</v>
      </c>
      <c r="AC27" s="120"/>
      <c r="AD27" s="120"/>
      <c r="AE27" s="120"/>
      <c r="AF27" s="120"/>
      <c r="AG27" s="120" t="s">
        <v>450</v>
      </c>
      <c r="AH27" s="120"/>
      <c r="AI27" s="120" t="s">
        <v>451</v>
      </c>
      <c r="AJ27" s="120"/>
      <c r="AK27" s="120" t="s">
        <v>447</v>
      </c>
      <c r="AL27" s="120"/>
      <c r="AM27" s="120"/>
      <c r="AN27" s="120"/>
      <c r="AO27" s="120"/>
      <c r="AP27" s="120" t="s">
        <v>151</v>
      </c>
      <c r="AQ27" s="120"/>
      <c r="AR27" s="120" t="s">
        <v>152</v>
      </c>
      <c r="AS27" s="120"/>
      <c r="AT27" s="159" t="s">
        <v>186</v>
      </c>
      <c r="AU27" s="160"/>
      <c r="AV27" s="160"/>
      <c r="AW27" s="160"/>
      <c r="AX27" s="146"/>
      <c r="AY27" s="147"/>
      <c r="AZ27" s="296">
        <f>(Z13+AI13+AR13)/1000</f>
        <v>1302.8112</v>
      </c>
      <c r="BA27" s="279">
        <v>6</v>
      </c>
      <c r="BB27" s="284">
        <f>AZ27*BA27</f>
        <v>7816.867200000001</v>
      </c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1" ht="12.75">
      <c r="A28" s="143" t="s">
        <v>225</v>
      </c>
      <c r="B28" s="143" t="s">
        <v>236</v>
      </c>
      <c r="C28" s="197">
        <v>623125667</v>
      </c>
      <c r="D28" s="321">
        <v>5.71</v>
      </c>
      <c r="E28" s="234">
        <v>90.8</v>
      </c>
      <c r="F28" s="175">
        <v>1800</v>
      </c>
      <c r="G28" s="322">
        <f t="shared" si="1"/>
        <v>85.09</v>
      </c>
      <c r="H28" s="171"/>
      <c r="I28" s="175">
        <f>G28*F28</f>
        <v>153162</v>
      </c>
      <c r="J28" s="160"/>
      <c r="K28" s="160"/>
      <c r="L28" s="181"/>
      <c r="M28" s="181"/>
      <c r="N28" s="188"/>
      <c r="O28" s="188"/>
      <c r="P28" s="188"/>
      <c r="Q28" s="160"/>
      <c r="R28" s="190"/>
      <c r="S28" s="120"/>
      <c r="T28" s="120"/>
      <c r="U28" s="120"/>
      <c r="V28" s="120"/>
      <c r="W28" s="120"/>
      <c r="X28" s="120"/>
      <c r="Y28" s="120"/>
      <c r="Z28" s="120"/>
      <c r="AA28" s="120"/>
      <c r="AB28" s="120" t="s">
        <v>285</v>
      </c>
      <c r="AC28" s="120"/>
      <c r="AD28" s="120"/>
      <c r="AE28" s="120"/>
      <c r="AF28" s="120"/>
      <c r="AG28" s="120" t="s">
        <v>150</v>
      </c>
      <c r="AH28" s="120"/>
      <c r="AI28" s="120"/>
      <c r="AJ28" s="120"/>
      <c r="AK28" s="120" t="s">
        <v>285</v>
      </c>
      <c r="AL28" s="120"/>
      <c r="AM28" s="120"/>
      <c r="AN28" s="120"/>
      <c r="AO28" s="120"/>
      <c r="AP28" s="120" t="s">
        <v>150</v>
      </c>
      <c r="AQ28" s="120"/>
      <c r="AR28" s="120"/>
      <c r="AS28" s="120"/>
      <c r="AT28" s="145"/>
      <c r="AU28" s="146"/>
      <c r="AV28" s="146"/>
      <c r="AW28" s="146"/>
      <c r="AX28" s="146"/>
      <c r="AY28" s="147"/>
      <c r="AZ28" s="280"/>
      <c r="BA28" s="287"/>
      <c r="BB28" s="28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1" ht="12.75">
      <c r="A29" s="144"/>
      <c r="B29" s="144" t="s">
        <v>222</v>
      </c>
      <c r="C29" s="169">
        <v>205000</v>
      </c>
      <c r="D29" s="228">
        <v>11692</v>
      </c>
      <c r="E29" s="228">
        <v>11770.7</v>
      </c>
      <c r="F29" s="164">
        <v>1800</v>
      </c>
      <c r="G29" s="227">
        <f t="shared" si="1"/>
        <v>78.70000000000073</v>
      </c>
      <c r="H29" s="169"/>
      <c r="I29" s="164">
        <f>F29*G29+H29</f>
        <v>141660.0000000013</v>
      </c>
      <c r="J29" s="160"/>
      <c r="K29" s="160"/>
      <c r="L29" s="181"/>
      <c r="M29" s="181"/>
      <c r="N29" s="188"/>
      <c r="O29" s="188"/>
      <c r="P29" s="188"/>
      <c r="Q29" s="160"/>
      <c r="R29" s="19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45"/>
      <c r="AU29" s="146"/>
      <c r="AV29" s="146"/>
      <c r="AW29" s="146"/>
      <c r="AX29" s="146"/>
      <c r="AY29" s="147"/>
      <c r="AZ29" s="280"/>
      <c r="BA29" s="287"/>
      <c r="BB29" s="28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1" ht="12.75">
      <c r="A30" s="143" t="s">
        <v>226</v>
      </c>
      <c r="B30" s="143" t="s">
        <v>237</v>
      </c>
      <c r="C30" s="197">
        <v>623126370</v>
      </c>
      <c r="D30" s="321">
        <v>1.83</v>
      </c>
      <c r="E30" s="234">
        <v>8.8</v>
      </c>
      <c r="F30" s="175">
        <v>4800</v>
      </c>
      <c r="G30" s="322">
        <f t="shared" si="1"/>
        <v>6.970000000000001</v>
      </c>
      <c r="H30" s="171"/>
      <c r="I30" s="175">
        <f>G30*F30</f>
        <v>33456</v>
      </c>
      <c r="J30" s="160"/>
      <c r="K30" s="160"/>
      <c r="L30" s="264"/>
      <c r="M30" s="181"/>
      <c r="N30" s="265" t="s">
        <v>280</v>
      </c>
      <c r="O30" s="265"/>
      <c r="P30" s="188"/>
      <c r="Q30" s="160"/>
      <c r="R30" s="190"/>
      <c r="S30" s="120" t="s">
        <v>447</v>
      </c>
      <c r="T30" s="120"/>
      <c r="U30" s="120"/>
      <c r="V30" s="120"/>
      <c r="W30" s="120"/>
      <c r="X30" s="120" t="s">
        <v>450</v>
      </c>
      <c r="Y30" s="120"/>
      <c r="Z30" s="120" t="s">
        <v>451</v>
      </c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45"/>
      <c r="AU30" s="146"/>
      <c r="AV30" s="146"/>
      <c r="AW30" s="146"/>
      <c r="AX30" s="146"/>
      <c r="AY30" s="147"/>
      <c r="AZ30" s="280"/>
      <c r="BA30" s="287"/>
      <c r="BB30" s="28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1" ht="12.75">
      <c r="A31" s="144"/>
      <c r="B31" s="144" t="s">
        <v>222</v>
      </c>
      <c r="C31" s="169">
        <v>205063</v>
      </c>
      <c r="D31" s="228">
        <v>6462</v>
      </c>
      <c r="E31" s="228">
        <v>6470.1</v>
      </c>
      <c r="F31" s="164">
        <v>4800</v>
      </c>
      <c r="G31" s="227">
        <f t="shared" si="1"/>
        <v>8.100000000000364</v>
      </c>
      <c r="H31" s="169"/>
      <c r="I31" s="164">
        <f>F31*G31+H31</f>
        <v>38880.000000001746</v>
      </c>
      <c r="J31" s="160"/>
      <c r="K31" s="160"/>
      <c r="L31" s="181"/>
      <c r="M31" s="181"/>
      <c r="N31" s="265" t="s">
        <v>282</v>
      </c>
      <c r="O31" s="265"/>
      <c r="P31" s="188"/>
      <c r="Q31" s="160"/>
      <c r="R31" s="190"/>
      <c r="S31" s="120" t="s">
        <v>285</v>
      </c>
      <c r="T31" s="120"/>
      <c r="U31" s="120"/>
      <c r="V31" s="120"/>
      <c r="W31" s="120"/>
      <c r="X31" s="120" t="s">
        <v>150</v>
      </c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45" t="s">
        <v>432</v>
      </c>
      <c r="AU31" s="146"/>
      <c r="AV31" s="146"/>
      <c r="AW31" s="146"/>
      <c r="AX31" s="146"/>
      <c r="AY31" s="147"/>
      <c r="AZ31" s="280"/>
      <c r="BA31" s="298"/>
      <c r="BB31" s="279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1" ht="12.75">
      <c r="A32" s="143" t="s">
        <v>227</v>
      </c>
      <c r="B32" s="143" t="s">
        <v>238</v>
      </c>
      <c r="C32" s="197">
        <v>623125137</v>
      </c>
      <c r="D32" s="321">
        <v>3.33</v>
      </c>
      <c r="E32" s="234">
        <v>19.7</v>
      </c>
      <c r="F32" s="175">
        <v>4800</v>
      </c>
      <c r="G32" s="322">
        <f t="shared" si="1"/>
        <v>16.369999999999997</v>
      </c>
      <c r="H32" s="171"/>
      <c r="I32" s="175">
        <f>G32*F32</f>
        <v>78575.99999999999</v>
      </c>
      <c r="J32" s="160"/>
      <c r="K32" s="160"/>
      <c r="L32" s="264"/>
      <c r="M32" s="181"/>
      <c r="N32" s="265" t="s">
        <v>285</v>
      </c>
      <c r="O32" s="265"/>
      <c r="P32" s="188"/>
      <c r="Q32" s="160"/>
      <c r="R32" s="190"/>
      <c r="S32" s="120"/>
      <c r="T32" s="120"/>
      <c r="U32" s="120"/>
      <c r="V32" s="120"/>
      <c r="W32" s="120"/>
      <c r="X32" s="120"/>
      <c r="Y32" s="120"/>
      <c r="Z32" s="120"/>
      <c r="AA32" s="120"/>
      <c r="AB32" s="120" t="s">
        <v>149</v>
      </c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45" t="s">
        <v>430</v>
      </c>
      <c r="AU32" s="146"/>
      <c r="AV32" s="146"/>
      <c r="AW32" s="146"/>
      <c r="AX32" s="146"/>
      <c r="AY32" s="147"/>
      <c r="AZ32" s="280"/>
      <c r="BA32" s="287"/>
      <c r="BB32" s="279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ht="12.75">
      <c r="A33" s="144"/>
      <c r="B33" s="144" t="s">
        <v>222</v>
      </c>
      <c r="C33" s="169">
        <v>205065</v>
      </c>
      <c r="D33" s="228">
        <v>2923.6</v>
      </c>
      <c r="E33" s="228">
        <v>2944.1</v>
      </c>
      <c r="F33" s="164">
        <v>4800</v>
      </c>
      <c r="G33" s="227">
        <f t="shared" si="1"/>
        <v>20.5</v>
      </c>
      <c r="H33" s="169"/>
      <c r="I33" s="164">
        <f>F33*G33+H33</f>
        <v>98400</v>
      </c>
      <c r="J33" s="160"/>
      <c r="K33" s="160"/>
      <c r="L33" s="181"/>
      <c r="M33" s="181"/>
      <c r="N33" s="265"/>
      <c r="O33" s="265"/>
      <c r="P33" s="188"/>
      <c r="Q33" s="160"/>
      <c r="R33" s="190"/>
      <c r="S33" s="120"/>
      <c r="T33" s="120"/>
      <c r="U33" s="120"/>
      <c r="V33" s="120"/>
      <c r="W33" s="120"/>
      <c r="X33" s="120"/>
      <c r="Y33" s="120"/>
      <c r="Z33" s="120"/>
      <c r="AA33" s="120"/>
      <c r="AB33" s="120" t="s">
        <v>18</v>
      </c>
      <c r="AC33" s="120"/>
      <c r="AD33" s="120"/>
      <c r="AE33" s="120"/>
      <c r="AF33" s="120"/>
      <c r="AG33" s="120"/>
      <c r="AH33" s="120"/>
      <c r="AI33" s="120"/>
      <c r="AJ33" s="120"/>
      <c r="AK33" s="120" t="s">
        <v>149</v>
      </c>
      <c r="AL33" s="120"/>
      <c r="AM33" s="120"/>
      <c r="AN33" s="120"/>
      <c r="AO33" s="120"/>
      <c r="AP33" s="120"/>
      <c r="AQ33" s="120"/>
      <c r="AR33" s="120"/>
      <c r="AS33" s="120"/>
      <c r="AT33" s="145" t="s">
        <v>437</v>
      </c>
      <c r="AU33" s="146"/>
      <c r="AV33" s="146"/>
      <c r="AW33" s="146"/>
      <c r="AX33" s="146"/>
      <c r="AY33" s="147"/>
      <c r="AZ33" s="280"/>
      <c r="BA33" s="293"/>
      <c r="BB33" s="279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ht="12.75">
      <c r="A34" s="143" t="s">
        <v>228</v>
      </c>
      <c r="B34" s="143" t="s">
        <v>239</v>
      </c>
      <c r="C34" s="197">
        <v>623125142</v>
      </c>
      <c r="D34" s="321">
        <v>6.47</v>
      </c>
      <c r="E34" s="234">
        <v>122</v>
      </c>
      <c r="F34" s="175">
        <v>2400</v>
      </c>
      <c r="G34" s="322">
        <f t="shared" si="1"/>
        <v>115.53</v>
      </c>
      <c r="H34" s="171"/>
      <c r="I34" s="175">
        <f>G34*F34</f>
        <v>277272</v>
      </c>
      <c r="J34" s="160"/>
      <c r="K34" s="160"/>
      <c r="L34" s="264"/>
      <c r="M34" s="181"/>
      <c r="N34" s="266" t="s">
        <v>283</v>
      </c>
      <c r="O34" s="266"/>
      <c r="P34" s="188"/>
      <c r="Q34" s="160"/>
      <c r="R34" s="190"/>
      <c r="S34" s="120"/>
      <c r="T34" s="120"/>
      <c r="U34" s="120"/>
      <c r="V34" s="120"/>
      <c r="W34" s="120"/>
      <c r="X34" s="120"/>
      <c r="Y34" s="120"/>
      <c r="Z34" s="120"/>
      <c r="AA34" s="120"/>
      <c r="AB34" s="120" t="s">
        <v>167</v>
      </c>
      <c r="AC34" s="120"/>
      <c r="AD34" s="120"/>
      <c r="AE34" s="120"/>
      <c r="AF34" s="120"/>
      <c r="AG34" s="120" t="s">
        <v>134</v>
      </c>
      <c r="AH34" s="120"/>
      <c r="AI34" s="120" t="s">
        <v>133</v>
      </c>
      <c r="AJ34" s="120"/>
      <c r="AK34" s="120" t="s">
        <v>462</v>
      </c>
      <c r="AL34" s="120"/>
      <c r="AM34" s="120"/>
      <c r="AN34" s="120"/>
      <c r="AO34" s="120"/>
      <c r="AP34" s="120"/>
      <c r="AQ34" s="120" t="s">
        <v>463</v>
      </c>
      <c r="AR34" s="120"/>
      <c r="AS34" s="120"/>
      <c r="AT34" s="145" t="s">
        <v>430</v>
      </c>
      <c r="AU34" s="146"/>
      <c r="AV34" s="146"/>
      <c r="AW34" s="146"/>
      <c r="AX34" s="146"/>
      <c r="AY34" s="147"/>
      <c r="AZ34" s="280"/>
      <c r="BA34" s="293"/>
      <c r="BB34" s="279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ht="12.75">
      <c r="A35" s="144"/>
      <c r="B35" s="144" t="s">
        <v>222</v>
      </c>
      <c r="C35" s="169">
        <v>204946</v>
      </c>
      <c r="D35" s="228">
        <v>1530.9</v>
      </c>
      <c r="E35" s="228">
        <v>1663</v>
      </c>
      <c r="F35" s="164">
        <v>2400</v>
      </c>
      <c r="G35" s="227">
        <f t="shared" si="1"/>
        <v>132.0999999999999</v>
      </c>
      <c r="H35" s="169"/>
      <c r="I35" s="164">
        <f>F35*G35+H35</f>
        <v>317039.99999999977</v>
      </c>
      <c r="J35" s="160"/>
      <c r="K35" s="239"/>
      <c r="L35" s="181"/>
      <c r="M35" s="181"/>
      <c r="N35" s="267" t="s">
        <v>281</v>
      </c>
      <c r="O35" s="188"/>
      <c r="P35" s="188"/>
      <c r="Q35" s="160"/>
      <c r="R35" s="190"/>
      <c r="S35" s="120"/>
      <c r="T35" s="120"/>
      <c r="U35" s="120"/>
      <c r="V35" s="120"/>
      <c r="W35" s="120"/>
      <c r="X35" s="120"/>
      <c r="Y35" s="120"/>
      <c r="Z35" s="120"/>
      <c r="AA35" s="120"/>
      <c r="AB35" s="120" t="s">
        <v>188</v>
      </c>
      <c r="AC35" s="120"/>
      <c r="AD35" s="120"/>
      <c r="AE35" s="120"/>
      <c r="AF35" s="120"/>
      <c r="AG35" s="120" t="s">
        <v>150</v>
      </c>
      <c r="AH35" s="120"/>
      <c r="AI35" s="120"/>
      <c r="AJ35" s="120"/>
      <c r="AK35" s="120"/>
      <c r="AL35" s="120"/>
      <c r="AM35" s="120"/>
      <c r="AN35" s="120"/>
      <c r="AO35" s="120"/>
      <c r="AP35" s="120"/>
      <c r="AQ35" s="120" t="s">
        <v>150</v>
      </c>
      <c r="AR35" s="120"/>
      <c r="AS35" s="120"/>
      <c r="AT35" s="145" t="s">
        <v>430</v>
      </c>
      <c r="AU35" s="146"/>
      <c r="AV35" s="146"/>
      <c r="AW35" s="146"/>
      <c r="AX35" s="146"/>
      <c r="AY35" s="147"/>
      <c r="AZ35" s="280"/>
      <c r="BA35" s="293"/>
      <c r="BB35" s="279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</row>
    <row r="36" spans="1:81" ht="12.75">
      <c r="A36" s="143" t="s">
        <v>229</v>
      </c>
      <c r="B36" s="143" t="s">
        <v>240</v>
      </c>
      <c r="C36" s="197">
        <v>623125205</v>
      </c>
      <c r="D36" s="234">
        <v>3.5</v>
      </c>
      <c r="E36" s="234">
        <v>3.7</v>
      </c>
      <c r="F36" s="175">
        <v>1800</v>
      </c>
      <c r="G36" s="233">
        <f t="shared" si="1"/>
        <v>0.20000000000000018</v>
      </c>
      <c r="H36" s="171"/>
      <c r="I36" s="175">
        <f>G36*F36</f>
        <v>360.00000000000034</v>
      </c>
      <c r="J36" s="120"/>
      <c r="K36" s="160"/>
      <c r="L36" s="160"/>
      <c r="M36" s="160"/>
      <c r="N36" s="160"/>
      <c r="O36" s="160"/>
      <c r="P36" s="190"/>
      <c r="Q36" s="236"/>
      <c r="R36" s="237"/>
      <c r="S36" s="120" t="s">
        <v>160</v>
      </c>
      <c r="T36" s="120"/>
      <c r="U36" s="120"/>
      <c r="V36" s="120"/>
      <c r="W36" s="120"/>
      <c r="X36" s="120" t="s">
        <v>450</v>
      </c>
      <c r="Y36" s="120"/>
      <c r="Z36" s="120" t="s">
        <v>137</v>
      </c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46" t="s">
        <v>323</v>
      </c>
      <c r="AU36" s="146"/>
      <c r="AV36" s="146"/>
      <c r="AW36" s="146"/>
      <c r="AX36" s="146"/>
      <c r="AY36" s="147"/>
      <c r="AZ36" s="280"/>
      <c r="BA36" s="287"/>
      <c r="BB36" s="279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</row>
    <row r="37" spans="1:81" ht="12.75">
      <c r="A37" s="144"/>
      <c r="B37" s="144" t="s">
        <v>222</v>
      </c>
      <c r="C37" s="169">
        <v>204938</v>
      </c>
      <c r="D37" s="228">
        <v>2876.3</v>
      </c>
      <c r="E37" s="228">
        <v>2928.4</v>
      </c>
      <c r="F37" s="164">
        <v>1800</v>
      </c>
      <c r="G37" s="227">
        <f t="shared" si="1"/>
        <v>52.09999999999991</v>
      </c>
      <c r="H37" s="169"/>
      <c r="I37" s="164">
        <f>F37*G37+H37</f>
        <v>93779.99999999984</v>
      </c>
      <c r="J37" s="120"/>
      <c r="K37" s="160"/>
      <c r="L37" s="160"/>
      <c r="M37" s="160"/>
      <c r="N37" s="160"/>
      <c r="O37" s="160"/>
      <c r="P37" s="190"/>
      <c r="Q37" s="236"/>
      <c r="R37" s="237"/>
      <c r="S37" s="120"/>
      <c r="T37" s="120"/>
      <c r="U37" s="120"/>
      <c r="V37" s="120"/>
      <c r="W37" s="120"/>
      <c r="X37" s="120" t="s">
        <v>150</v>
      </c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45" t="s">
        <v>430</v>
      </c>
      <c r="AU37" s="146"/>
      <c r="AV37" s="146" t="s">
        <v>96</v>
      </c>
      <c r="AW37" s="146"/>
      <c r="AX37" s="146"/>
      <c r="AY37" s="147"/>
      <c r="AZ37" s="280"/>
      <c r="BA37" s="293"/>
      <c r="BB37" s="279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</row>
    <row r="38" spans="1:81" ht="12.75">
      <c r="A38" s="143" t="s">
        <v>230</v>
      </c>
      <c r="B38" s="143" t="s">
        <v>241</v>
      </c>
      <c r="C38" s="197">
        <v>623123704</v>
      </c>
      <c r="D38" s="321">
        <v>5.74</v>
      </c>
      <c r="E38" s="234">
        <v>6.5</v>
      </c>
      <c r="F38" s="175">
        <v>1800</v>
      </c>
      <c r="G38" s="322">
        <f t="shared" si="1"/>
        <v>0.7599999999999998</v>
      </c>
      <c r="H38" s="171"/>
      <c r="I38" s="175">
        <f>G38*F38</f>
        <v>1367.9999999999995</v>
      </c>
      <c r="J38" s="120"/>
      <c r="K38" s="160"/>
      <c r="L38" s="160"/>
      <c r="M38" s="160"/>
      <c r="N38" s="160"/>
      <c r="O38" s="160"/>
      <c r="P38" s="190"/>
      <c r="Q38" s="236"/>
      <c r="R38" s="237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45" t="s">
        <v>431</v>
      </c>
      <c r="AU38" s="146"/>
      <c r="AV38" s="146" t="s">
        <v>416</v>
      </c>
      <c r="AW38" s="146"/>
      <c r="AX38" s="146"/>
      <c r="AY38" s="147"/>
      <c r="AZ38" s="280"/>
      <c r="BA38" s="293"/>
      <c r="BB38" s="279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</row>
    <row r="39" spans="1:81" ht="12.75">
      <c r="A39" s="144"/>
      <c r="B39" s="144" t="s">
        <v>222</v>
      </c>
      <c r="C39" s="169">
        <v>204959</v>
      </c>
      <c r="D39" s="228">
        <v>4050.1</v>
      </c>
      <c r="E39" s="228">
        <v>4053.7</v>
      </c>
      <c r="F39" s="164">
        <v>1800</v>
      </c>
      <c r="G39" s="227">
        <f t="shared" si="1"/>
        <v>3.599999999999909</v>
      </c>
      <c r="H39" s="169"/>
      <c r="I39" s="164">
        <f>F39*G39+H39</f>
        <v>6479.999999999836</v>
      </c>
      <c r="J39" s="120"/>
      <c r="K39" s="160"/>
      <c r="L39" s="160"/>
      <c r="M39" s="160"/>
      <c r="N39" s="160"/>
      <c r="O39" s="160"/>
      <c r="P39" s="190"/>
      <c r="Q39" s="236"/>
      <c r="R39" s="237"/>
      <c r="S39" s="239"/>
      <c r="T39" s="268"/>
      <c r="U39" s="160"/>
      <c r="V39" s="160"/>
      <c r="W39" s="188"/>
      <c r="X39" s="188"/>
      <c r="Y39" s="269"/>
      <c r="Z39" s="160"/>
      <c r="AA39" s="19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45"/>
      <c r="AU39" s="146"/>
      <c r="AV39" s="146"/>
      <c r="AW39" s="146"/>
      <c r="AX39" s="146"/>
      <c r="AY39" s="147"/>
      <c r="AZ39" s="280"/>
      <c r="BA39" s="293"/>
      <c r="BB39" s="279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</row>
    <row r="40" spans="1:81" ht="12.75">
      <c r="A40" s="143" t="s">
        <v>231</v>
      </c>
      <c r="B40" s="143" t="s">
        <v>242</v>
      </c>
      <c r="C40" s="197">
        <v>623125794</v>
      </c>
      <c r="D40" s="321">
        <v>4.93</v>
      </c>
      <c r="E40" s="234">
        <v>5.1</v>
      </c>
      <c r="F40" s="175">
        <v>1800</v>
      </c>
      <c r="G40" s="322">
        <f t="shared" si="1"/>
        <v>0.16999999999999993</v>
      </c>
      <c r="H40" s="171"/>
      <c r="I40" s="175">
        <f>G40*F40</f>
        <v>305.9999999999999</v>
      </c>
      <c r="J40" s="120"/>
      <c r="K40" s="160"/>
      <c r="L40" s="160"/>
      <c r="M40" s="160"/>
      <c r="N40" s="160">
        <v>1925</v>
      </c>
      <c r="O40" s="160"/>
      <c r="P40" s="190"/>
      <c r="Q40" s="236"/>
      <c r="R40" s="237"/>
      <c r="S40" s="239"/>
      <c r="T40" s="268"/>
      <c r="U40" s="160"/>
      <c r="V40" s="160"/>
      <c r="W40" s="188"/>
      <c r="X40" s="188"/>
      <c r="Y40" s="269"/>
      <c r="Z40" s="160"/>
      <c r="AA40" s="19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45"/>
      <c r="AU40" s="146"/>
      <c r="AV40" s="146"/>
      <c r="AW40" s="146"/>
      <c r="AX40" s="146"/>
      <c r="AY40" s="147"/>
      <c r="AZ40" s="280"/>
      <c r="BA40" s="293"/>
      <c r="BB40" s="279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</row>
    <row r="41" spans="1:81" ht="12.75">
      <c r="A41" s="144"/>
      <c r="B41" s="144" t="s">
        <v>222</v>
      </c>
      <c r="C41" s="169">
        <v>205066</v>
      </c>
      <c r="D41" s="228">
        <v>1667.3</v>
      </c>
      <c r="E41" s="228">
        <v>1667.6</v>
      </c>
      <c r="F41" s="164">
        <v>1800</v>
      </c>
      <c r="G41" s="227">
        <f t="shared" si="1"/>
        <v>0.2999999999999545</v>
      </c>
      <c r="H41" s="169"/>
      <c r="I41" s="164">
        <f>F41*G41+H41</f>
        <v>539.9999999999181</v>
      </c>
      <c r="J41" s="120"/>
      <c r="K41" s="160"/>
      <c r="L41" s="160"/>
      <c r="M41" s="160"/>
      <c r="N41" s="160"/>
      <c r="O41" s="160"/>
      <c r="P41" s="190"/>
      <c r="Q41" s="236"/>
      <c r="R41" s="237"/>
      <c r="S41" s="268"/>
      <c r="T41" s="239"/>
      <c r="U41" s="160"/>
      <c r="V41" s="160"/>
      <c r="W41" s="160"/>
      <c r="X41" s="160"/>
      <c r="Y41" s="160"/>
      <c r="Z41" s="160"/>
      <c r="AA41" s="19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45"/>
      <c r="AU41" s="146"/>
      <c r="AV41" s="146"/>
      <c r="AW41" s="146"/>
      <c r="AX41" s="146"/>
      <c r="AY41" s="147"/>
      <c r="AZ41" s="280"/>
      <c r="BA41" s="287"/>
      <c r="BB41" s="279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</row>
    <row r="42" spans="1:81" ht="12.75">
      <c r="A42" s="143" t="s">
        <v>232</v>
      </c>
      <c r="B42" s="143" t="s">
        <v>243</v>
      </c>
      <c r="C42" s="197">
        <v>623125736</v>
      </c>
      <c r="D42" s="234">
        <v>5.3</v>
      </c>
      <c r="E42" s="234">
        <v>6</v>
      </c>
      <c r="F42" s="175">
        <v>1800</v>
      </c>
      <c r="G42" s="233">
        <f t="shared" si="1"/>
        <v>0.7000000000000002</v>
      </c>
      <c r="H42" s="171"/>
      <c r="I42" s="175">
        <f>G42*F42</f>
        <v>1260.0000000000002</v>
      </c>
      <c r="J42" s="120"/>
      <c r="K42" s="160"/>
      <c r="L42" s="160"/>
      <c r="M42" s="160"/>
      <c r="N42" s="160"/>
      <c r="O42" s="160"/>
      <c r="P42" s="190"/>
      <c r="Q42" s="236"/>
      <c r="R42" s="237"/>
      <c r="S42" s="239"/>
      <c r="T42" s="268"/>
      <c r="U42" s="160"/>
      <c r="V42" s="160"/>
      <c r="W42" s="188"/>
      <c r="X42" s="188"/>
      <c r="Y42" s="269"/>
      <c r="Z42" s="160"/>
      <c r="AA42" s="19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45" t="s">
        <v>323</v>
      </c>
      <c r="AU42" s="146"/>
      <c r="AV42" s="146"/>
      <c r="AW42" s="146"/>
      <c r="AX42" s="146"/>
      <c r="AY42" s="147"/>
      <c r="AZ42" s="280"/>
      <c r="BA42" s="293"/>
      <c r="BB42" s="279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</row>
    <row r="43" spans="1:81" ht="12.75">
      <c r="A43" s="144"/>
      <c r="B43" s="144" t="s">
        <v>222</v>
      </c>
      <c r="C43" s="169">
        <v>205074</v>
      </c>
      <c r="D43" s="228">
        <v>194.1</v>
      </c>
      <c r="E43" s="228">
        <v>194.9</v>
      </c>
      <c r="F43" s="164">
        <v>1800</v>
      </c>
      <c r="G43" s="227">
        <f t="shared" si="1"/>
        <v>0.8000000000000114</v>
      </c>
      <c r="H43" s="169"/>
      <c r="I43" s="164">
        <f>F43*G43+H43</f>
        <v>1440.0000000000205</v>
      </c>
      <c r="J43" s="160"/>
      <c r="K43" s="160"/>
      <c r="L43" s="160"/>
      <c r="M43" s="160"/>
      <c r="N43" s="160"/>
      <c r="O43" s="160"/>
      <c r="P43" s="190"/>
      <c r="Q43" s="236"/>
      <c r="R43" s="237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45"/>
      <c r="AU43" s="146"/>
      <c r="AV43" s="146"/>
      <c r="AW43" s="146"/>
      <c r="AX43" s="146"/>
      <c r="AY43" s="147"/>
      <c r="AZ43" s="280"/>
      <c r="BA43" s="287"/>
      <c r="BB43" s="279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</row>
    <row r="44" spans="1:81" ht="12.75">
      <c r="A44" s="143" t="s">
        <v>233</v>
      </c>
      <c r="B44" s="143" t="s">
        <v>234</v>
      </c>
      <c r="C44" s="197">
        <v>611126342</v>
      </c>
      <c r="D44" s="321">
        <v>0.22</v>
      </c>
      <c r="E44" s="234">
        <v>453</v>
      </c>
      <c r="F44" s="175">
        <v>40</v>
      </c>
      <c r="G44" s="233">
        <f t="shared" si="1"/>
        <v>452.78</v>
      </c>
      <c r="H44" s="171"/>
      <c r="I44" s="175">
        <f>G44*F44</f>
        <v>18111.199999999997</v>
      </c>
      <c r="J44" s="160"/>
      <c r="K44" s="160"/>
      <c r="L44" s="160"/>
      <c r="M44" s="160"/>
      <c r="N44" s="160"/>
      <c r="O44" s="160"/>
      <c r="P44" s="190"/>
      <c r="Q44" s="238"/>
      <c r="R44" s="237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45" t="s">
        <v>3</v>
      </c>
      <c r="AU44" s="146"/>
      <c r="AV44" s="146"/>
      <c r="AW44" s="146"/>
      <c r="AX44" s="146"/>
      <c r="AY44" s="147"/>
      <c r="AZ44" s="280"/>
      <c r="BA44" s="287"/>
      <c r="BB44" s="279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</row>
    <row r="45" spans="1:81" ht="12.75">
      <c r="A45" s="144"/>
      <c r="B45" s="144" t="s">
        <v>222</v>
      </c>
      <c r="C45" s="169">
        <v>205074</v>
      </c>
      <c r="D45" s="228">
        <v>37344.7</v>
      </c>
      <c r="E45" s="228">
        <v>37663.8</v>
      </c>
      <c r="F45" s="164">
        <v>40</v>
      </c>
      <c r="G45" s="229">
        <f t="shared" si="1"/>
        <v>319.1000000000058</v>
      </c>
      <c r="H45" s="169"/>
      <c r="I45" s="164">
        <f>F45*G45+H45</f>
        <v>12764.000000000233</v>
      </c>
      <c r="J45" s="160"/>
      <c r="K45" s="160"/>
      <c r="L45" s="160"/>
      <c r="M45" s="160"/>
      <c r="N45" s="160"/>
      <c r="O45" s="160"/>
      <c r="P45" s="190"/>
      <c r="Q45" s="236"/>
      <c r="R45" s="237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45"/>
      <c r="AU45" s="146"/>
      <c r="AV45" s="146" t="s">
        <v>330</v>
      </c>
      <c r="AW45" s="146"/>
      <c r="AX45" s="146"/>
      <c r="AY45" s="147"/>
      <c r="AZ45" s="280"/>
      <c r="BA45" s="298"/>
      <c r="BB45" s="279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</row>
    <row r="46" spans="1:81" ht="12.75">
      <c r="A46" s="201"/>
      <c r="B46" s="150"/>
      <c r="C46" s="199"/>
      <c r="D46" s="199"/>
      <c r="E46" s="200"/>
      <c r="F46" s="200"/>
      <c r="G46" s="215" t="s">
        <v>244</v>
      </c>
      <c r="H46" s="151"/>
      <c r="I46" s="235">
        <f>SUM(I22:I45)</f>
        <v>5757695.200000015</v>
      </c>
      <c r="J46" s="160"/>
      <c r="K46" s="160"/>
      <c r="L46" s="160"/>
      <c r="M46" s="160"/>
      <c r="N46" s="160"/>
      <c r="O46" s="160"/>
      <c r="P46" s="190"/>
      <c r="Q46" s="238"/>
      <c r="R46" s="237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45"/>
      <c r="AU46" s="146"/>
      <c r="AV46" s="146"/>
      <c r="AW46" s="146"/>
      <c r="AX46" s="146"/>
      <c r="AY46" s="147"/>
      <c r="AZ46" s="280"/>
      <c r="BA46" s="287"/>
      <c r="BB46" s="279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</row>
    <row r="47" spans="1:81" ht="12.75">
      <c r="A47" s="143" t="s">
        <v>247</v>
      </c>
      <c r="B47" s="145" t="s">
        <v>245</v>
      </c>
      <c r="C47" s="202"/>
      <c r="D47" s="202"/>
      <c r="E47" s="203"/>
      <c r="F47" s="203"/>
      <c r="G47" s="204"/>
      <c r="H47" s="146"/>
      <c r="I47" s="205"/>
      <c r="J47" s="160"/>
      <c r="K47" s="160"/>
      <c r="L47" s="160"/>
      <c r="M47" s="160"/>
      <c r="N47" s="160"/>
      <c r="O47" s="160"/>
      <c r="P47" s="190"/>
      <c r="Q47" s="236"/>
      <c r="R47" s="237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45"/>
      <c r="AU47" s="146"/>
      <c r="AV47" s="146"/>
      <c r="AW47" s="146"/>
      <c r="AX47" s="146"/>
      <c r="AY47" s="147"/>
      <c r="AZ47" s="280"/>
      <c r="BA47" s="298"/>
      <c r="BB47" s="279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</row>
    <row r="48" spans="1:81" ht="12.75">
      <c r="A48" s="173"/>
      <c r="B48" s="159" t="s">
        <v>246</v>
      </c>
      <c r="C48" s="206"/>
      <c r="D48" s="191"/>
      <c r="E48" s="207"/>
      <c r="F48" s="207"/>
      <c r="G48" s="208"/>
      <c r="H48" s="148"/>
      <c r="I48" s="209"/>
      <c r="J48" s="160"/>
      <c r="K48" s="160"/>
      <c r="L48" s="239"/>
      <c r="M48" s="160"/>
      <c r="N48" s="160"/>
      <c r="O48" s="160"/>
      <c r="P48" s="190"/>
      <c r="Q48" s="236"/>
      <c r="R48" s="237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45"/>
      <c r="AU48" s="146"/>
      <c r="AV48" s="146" t="s">
        <v>330</v>
      </c>
      <c r="AW48" s="146"/>
      <c r="AX48" s="146"/>
      <c r="AY48" s="147"/>
      <c r="AZ48" s="280"/>
      <c r="BA48" s="293"/>
      <c r="BB48" s="279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</row>
    <row r="49" spans="1:81" ht="12.75">
      <c r="A49" s="145" t="s">
        <v>248</v>
      </c>
      <c r="B49" s="143" t="s">
        <v>257</v>
      </c>
      <c r="C49" s="304">
        <v>7584756</v>
      </c>
      <c r="D49" s="211">
        <v>1736.8</v>
      </c>
      <c r="E49" s="211">
        <v>1743.1</v>
      </c>
      <c r="F49" s="155">
        <v>40</v>
      </c>
      <c r="G49" s="212">
        <f aca="true" t="shared" si="2" ref="G49:G60">E49-D49</f>
        <v>6.2999999999999545</v>
      </c>
      <c r="H49" s="152"/>
      <c r="I49" s="155">
        <f>ROUND(F49*G49+H49,0)</f>
        <v>252</v>
      </c>
      <c r="J49" s="160"/>
      <c r="K49" s="160"/>
      <c r="L49" s="160"/>
      <c r="M49" s="160"/>
      <c r="N49" s="160"/>
      <c r="O49" s="160"/>
      <c r="P49" s="160"/>
      <c r="Q49" s="160"/>
      <c r="R49" s="16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50"/>
      <c r="AU49" s="150"/>
      <c r="AV49" s="270" t="s">
        <v>169</v>
      </c>
      <c r="AW49" s="150"/>
      <c r="AX49" s="150"/>
      <c r="AY49" s="151"/>
      <c r="AZ49" s="280"/>
      <c r="BA49" s="293"/>
      <c r="BB49" s="279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</row>
    <row r="50" spans="1:81" ht="12.75">
      <c r="A50" s="159"/>
      <c r="B50" s="173" t="s">
        <v>256</v>
      </c>
      <c r="C50" s="304">
        <v>7584756</v>
      </c>
      <c r="D50" s="211">
        <v>1174.4</v>
      </c>
      <c r="E50" s="211">
        <v>1181.4</v>
      </c>
      <c r="F50" s="155">
        <v>40</v>
      </c>
      <c r="G50" s="212">
        <f t="shared" si="2"/>
        <v>7</v>
      </c>
      <c r="H50" s="152"/>
      <c r="I50" s="155">
        <f>ROUND(F50*G50+H50,0)</f>
        <v>280</v>
      </c>
      <c r="J50" s="160"/>
      <c r="K50" s="160"/>
      <c r="L50" s="160"/>
      <c r="M50" s="160"/>
      <c r="N50" s="160"/>
      <c r="O50" s="160"/>
      <c r="P50" s="160"/>
      <c r="Q50" s="160"/>
      <c r="R50" s="16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60"/>
      <c r="AU50" s="120"/>
      <c r="AV50" s="120"/>
      <c r="AW50" s="120"/>
      <c r="AX50" s="120"/>
      <c r="AY50" s="120"/>
      <c r="AZ50" s="120"/>
      <c r="BA50" s="120"/>
      <c r="BB50" s="120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</row>
    <row r="51" spans="1:81" ht="12.75">
      <c r="A51" s="159"/>
      <c r="B51" s="144" t="s">
        <v>467</v>
      </c>
      <c r="C51" s="305">
        <v>611127627</v>
      </c>
      <c r="D51" s="306">
        <v>11</v>
      </c>
      <c r="E51" s="306">
        <v>50</v>
      </c>
      <c r="F51" s="155">
        <v>40</v>
      </c>
      <c r="G51" s="212">
        <f t="shared" si="2"/>
        <v>39</v>
      </c>
      <c r="H51" s="155"/>
      <c r="I51" s="155">
        <f>ROUND(F51*G51+H51,0)</f>
        <v>1560</v>
      </c>
      <c r="J51" s="160"/>
      <c r="K51" s="160"/>
      <c r="L51" s="160"/>
      <c r="M51" s="160"/>
      <c r="N51" s="160"/>
      <c r="O51" s="160"/>
      <c r="P51" s="160"/>
      <c r="Q51" s="160"/>
      <c r="R51" s="16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60"/>
      <c r="AU51" s="120"/>
      <c r="AV51" s="120"/>
      <c r="AW51" s="120"/>
      <c r="AX51" s="120"/>
      <c r="AY51" s="120"/>
      <c r="AZ51" s="120"/>
      <c r="BA51" s="120"/>
      <c r="BB51" s="120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</row>
    <row r="52" spans="1:81" ht="12.75">
      <c r="A52" s="143" t="s">
        <v>251</v>
      </c>
      <c r="B52" s="161" t="s">
        <v>254</v>
      </c>
      <c r="C52" s="213">
        <v>810120245</v>
      </c>
      <c r="D52" s="302">
        <v>53.8271</v>
      </c>
      <c r="E52" s="302">
        <v>62.642</v>
      </c>
      <c r="F52" s="155">
        <v>3600</v>
      </c>
      <c r="G52" s="252">
        <f t="shared" si="2"/>
        <v>8.814900000000002</v>
      </c>
      <c r="H52" s="155"/>
      <c r="I52" s="155">
        <f>ROUND(F52*G52+H52,0)</f>
        <v>31734</v>
      </c>
      <c r="J52" s="160"/>
      <c r="K52" s="160"/>
      <c r="L52" s="160"/>
      <c r="M52" s="160"/>
      <c r="N52" s="160"/>
      <c r="O52" s="160"/>
      <c r="P52" s="160"/>
      <c r="Q52" s="160"/>
      <c r="R52" s="16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60" t="s">
        <v>481</v>
      </c>
      <c r="AU52" s="120"/>
      <c r="AV52" s="120"/>
      <c r="AW52" s="120"/>
      <c r="AX52" s="120"/>
      <c r="AY52" s="120"/>
      <c r="AZ52" s="120"/>
      <c r="BA52" s="120"/>
      <c r="BB52" s="120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</row>
    <row r="53" spans="1:81" ht="12.75">
      <c r="A53" s="173"/>
      <c r="B53" s="161" t="s">
        <v>255</v>
      </c>
      <c r="C53" s="213">
        <v>810120245</v>
      </c>
      <c r="D53" s="302">
        <v>24.506</v>
      </c>
      <c r="E53" s="302">
        <v>28.4292</v>
      </c>
      <c r="F53" s="155">
        <v>3600</v>
      </c>
      <c r="G53" s="252">
        <f t="shared" si="2"/>
        <v>3.9232000000000014</v>
      </c>
      <c r="H53" s="96"/>
      <c r="I53" s="155">
        <f aca="true" t="shared" si="3" ref="I53:I62">ROUND(F53*G53+H53,0)</f>
        <v>14124</v>
      </c>
      <c r="J53" s="160"/>
      <c r="K53" s="160"/>
      <c r="L53" s="160"/>
      <c r="M53" s="160"/>
      <c r="N53" s="160"/>
      <c r="O53" s="160"/>
      <c r="P53" s="160"/>
      <c r="Q53" s="160"/>
      <c r="R53" s="16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60"/>
      <c r="AU53" s="120"/>
      <c r="AV53" s="120"/>
      <c r="AW53" s="120"/>
      <c r="AX53" s="120"/>
      <c r="AY53" s="120"/>
      <c r="AZ53" s="120"/>
      <c r="BA53" s="120"/>
      <c r="BB53" s="120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</row>
    <row r="54" spans="1:81" ht="12.75">
      <c r="A54" s="173"/>
      <c r="B54" s="161" t="s">
        <v>254</v>
      </c>
      <c r="C54" s="210">
        <v>4050284</v>
      </c>
      <c r="D54" s="230">
        <v>1394.5539</v>
      </c>
      <c r="E54" s="230">
        <v>1394.8308</v>
      </c>
      <c r="F54" s="155">
        <v>3600</v>
      </c>
      <c r="G54" s="253">
        <f t="shared" si="2"/>
        <v>0.2768999999998414</v>
      </c>
      <c r="H54" s="96"/>
      <c r="I54" s="155">
        <f t="shared" si="3"/>
        <v>997</v>
      </c>
      <c r="J54" s="160"/>
      <c r="K54" s="160"/>
      <c r="L54" s="160"/>
      <c r="M54" s="160"/>
      <c r="N54" s="160"/>
      <c r="O54" s="160"/>
      <c r="P54" s="160"/>
      <c r="Q54" s="160"/>
      <c r="R54" s="16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60"/>
      <c r="AU54" s="120"/>
      <c r="AV54" s="120"/>
      <c r="AW54" s="120"/>
      <c r="AX54" s="120"/>
      <c r="AY54" s="120"/>
      <c r="AZ54" s="120"/>
      <c r="BA54" s="120"/>
      <c r="BB54" s="120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</row>
    <row r="55" spans="1:81" ht="12.75">
      <c r="A55" s="144"/>
      <c r="B55" s="149" t="s">
        <v>256</v>
      </c>
      <c r="C55" s="210">
        <v>4050284</v>
      </c>
      <c r="D55" s="230">
        <v>1415.8472</v>
      </c>
      <c r="E55" s="230">
        <v>1415.8472</v>
      </c>
      <c r="F55" s="155">
        <v>3600</v>
      </c>
      <c r="G55" s="253">
        <f t="shared" si="2"/>
        <v>0</v>
      </c>
      <c r="H55" s="96"/>
      <c r="I55" s="155">
        <f t="shared" si="3"/>
        <v>0</v>
      </c>
      <c r="J55" s="160"/>
      <c r="K55" s="160"/>
      <c r="L55" s="160"/>
      <c r="M55" s="160"/>
      <c r="N55" s="160"/>
      <c r="O55" s="160"/>
      <c r="P55" s="160"/>
      <c r="Q55" s="160"/>
      <c r="R55" s="24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60"/>
      <c r="AU55" s="120"/>
      <c r="AV55" s="120"/>
      <c r="AW55" s="120"/>
      <c r="AX55" s="120"/>
      <c r="AY55" s="120"/>
      <c r="AZ55" s="120"/>
      <c r="BA55" s="120"/>
      <c r="BB55" s="120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</row>
    <row r="56" spans="1:81" ht="12.75">
      <c r="A56" s="173" t="s">
        <v>252</v>
      </c>
      <c r="B56" s="143" t="s">
        <v>218</v>
      </c>
      <c r="C56" s="152">
        <v>8061200350</v>
      </c>
      <c r="D56" s="211">
        <v>2413.9</v>
      </c>
      <c r="E56" s="211">
        <v>2488.4</v>
      </c>
      <c r="F56" s="155">
        <v>20</v>
      </c>
      <c r="G56" s="212">
        <f t="shared" si="2"/>
        <v>74.5</v>
      </c>
      <c r="H56" s="96"/>
      <c r="I56" s="155">
        <f t="shared" si="3"/>
        <v>1490</v>
      </c>
      <c r="J56" s="160"/>
      <c r="K56" s="120"/>
      <c r="L56" s="120"/>
      <c r="M56" s="120"/>
      <c r="N56" s="120"/>
      <c r="O56" s="120"/>
      <c r="P56" s="120"/>
      <c r="Q56" s="120"/>
      <c r="R56" s="241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60"/>
      <c r="AU56" s="120"/>
      <c r="AV56" s="120"/>
      <c r="AW56" s="120"/>
      <c r="AX56" s="120"/>
      <c r="AY56" s="120"/>
      <c r="AZ56" s="120"/>
      <c r="BA56" s="120"/>
      <c r="BB56" s="271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</row>
    <row r="57" spans="1:81" ht="12.75">
      <c r="A57" s="307"/>
      <c r="B57" s="173" t="s">
        <v>217</v>
      </c>
      <c r="C57" s="305">
        <v>611127492</v>
      </c>
      <c r="D57" s="306">
        <v>1</v>
      </c>
      <c r="E57" s="306">
        <v>187</v>
      </c>
      <c r="F57" s="155">
        <v>20</v>
      </c>
      <c r="G57" s="212">
        <f t="shared" si="2"/>
        <v>186</v>
      </c>
      <c r="H57" s="155"/>
      <c r="I57" s="155">
        <f>ROUND(F57*G57+H57,0)</f>
        <v>3720</v>
      </c>
      <c r="J57" s="16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60"/>
      <c r="AU57" s="120"/>
      <c r="AV57" s="120" t="s">
        <v>144</v>
      </c>
      <c r="AW57" s="120"/>
      <c r="AX57" s="120"/>
      <c r="AY57" s="120"/>
      <c r="AZ57" s="120"/>
      <c r="BA57" s="120"/>
      <c r="BB57" s="272">
        <f>BA8</f>
        <v>2.67</v>
      </c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</row>
    <row r="58" spans="1:81" ht="12.75">
      <c r="A58" s="145" t="s">
        <v>253</v>
      </c>
      <c r="B58" s="143" t="s">
        <v>259</v>
      </c>
      <c r="C58" s="309">
        <v>70851523</v>
      </c>
      <c r="D58" s="211">
        <v>5787</v>
      </c>
      <c r="E58" s="211">
        <v>5831.7</v>
      </c>
      <c r="F58" s="155">
        <v>60</v>
      </c>
      <c r="G58" s="212">
        <f t="shared" si="2"/>
        <v>44.69999999999982</v>
      </c>
      <c r="H58" s="96"/>
      <c r="I58" s="155">
        <f t="shared" si="3"/>
        <v>2682</v>
      </c>
      <c r="J58" s="160"/>
      <c r="K58" s="160"/>
      <c r="L58" s="160"/>
      <c r="M58" s="160"/>
      <c r="N58" s="160"/>
      <c r="O58" s="160"/>
      <c r="P58" s="160"/>
      <c r="Q58" s="160"/>
      <c r="R58" s="16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60"/>
      <c r="AU58" s="120"/>
      <c r="AV58" s="120"/>
      <c r="AW58" s="120"/>
      <c r="AX58" s="120"/>
      <c r="AY58" s="120"/>
      <c r="AZ58" s="120"/>
      <c r="BA58" s="120"/>
      <c r="BB58" s="120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</row>
    <row r="59" spans="1:81" ht="12.75">
      <c r="A59" s="308"/>
      <c r="B59" s="173" t="s">
        <v>256</v>
      </c>
      <c r="C59" s="309">
        <v>70851523</v>
      </c>
      <c r="D59" s="211">
        <v>4522.2</v>
      </c>
      <c r="E59" s="211">
        <v>4540.7</v>
      </c>
      <c r="F59" s="155">
        <v>60</v>
      </c>
      <c r="G59" s="212">
        <f t="shared" si="2"/>
        <v>18.5</v>
      </c>
      <c r="H59" s="96"/>
      <c r="I59" s="155">
        <f t="shared" si="3"/>
        <v>1110</v>
      </c>
      <c r="J59" s="160"/>
      <c r="K59" s="160"/>
      <c r="L59" s="160"/>
      <c r="M59" s="160"/>
      <c r="N59" s="160"/>
      <c r="O59" s="160"/>
      <c r="P59" s="160"/>
      <c r="Q59" s="160"/>
      <c r="R59" s="16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60"/>
      <c r="AU59" s="160"/>
      <c r="AV59" s="160"/>
      <c r="AW59" s="160"/>
      <c r="AX59" s="160"/>
      <c r="AY59" s="160"/>
      <c r="AZ59" s="160"/>
      <c r="BA59" s="160"/>
      <c r="BB59" s="160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</row>
    <row r="60" spans="1:81" ht="13.5">
      <c r="A60" s="159"/>
      <c r="B60" s="173"/>
      <c r="C60" s="305">
        <v>611127702</v>
      </c>
      <c r="D60" s="306">
        <v>11.2</v>
      </c>
      <c r="E60" s="306">
        <v>57.9</v>
      </c>
      <c r="F60" s="155">
        <v>60</v>
      </c>
      <c r="G60" s="212">
        <f t="shared" si="2"/>
        <v>46.7</v>
      </c>
      <c r="H60" s="96"/>
      <c r="I60" s="155">
        <f t="shared" si="3"/>
        <v>2802</v>
      </c>
      <c r="J60" s="160"/>
      <c r="K60" s="160"/>
      <c r="L60" s="160"/>
      <c r="M60" s="160"/>
      <c r="N60" s="160"/>
      <c r="O60" s="242"/>
      <c r="P60" s="243"/>
      <c r="Q60" s="160"/>
      <c r="R60" s="16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60"/>
      <c r="AU60" s="160"/>
      <c r="AV60" s="160"/>
      <c r="AW60" s="160"/>
      <c r="AX60" s="160"/>
      <c r="AY60" s="242"/>
      <c r="AZ60" s="243"/>
      <c r="BA60" s="160"/>
      <c r="BB60" s="160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</row>
    <row r="61" spans="1:81" ht="12.75">
      <c r="A61" s="145" t="s">
        <v>258</v>
      </c>
      <c r="B61" s="143" t="s">
        <v>262</v>
      </c>
      <c r="C61" s="310">
        <v>91920</v>
      </c>
      <c r="D61" s="232">
        <v>2258</v>
      </c>
      <c r="E61" s="232">
        <v>2260</v>
      </c>
      <c r="F61" s="155">
        <v>60</v>
      </c>
      <c r="G61" s="212">
        <f aca="true" t="shared" si="4" ref="G61:G66">E61-D61</f>
        <v>2</v>
      </c>
      <c r="H61" s="96"/>
      <c r="I61" s="155">
        <f t="shared" si="3"/>
        <v>120</v>
      </c>
      <c r="J61" s="160"/>
      <c r="K61" s="160"/>
      <c r="L61" s="160"/>
      <c r="M61" s="160"/>
      <c r="N61" s="160"/>
      <c r="O61" s="160"/>
      <c r="P61" s="160"/>
      <c r="Q61" s="160"/>
      <c r="R61" s="16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60"/>
      <c r="AU61" s="160"/>
      <c r="AV61" s="160"/>
      <c r="AW61" s="160"/>
      <c r="AX61" s="160"/>
      <c r="AY61" s="160"/>
      <c r="AZ61" s="160"/>
      <c r="BA61" s="160"/>
      <c r="BB61" s="160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</row>
    <row r="62" spans="1:81" ht="12.75">
      <c r="A62" s="308"/>
      <c r="B62" s="173" t="s">
        <v>256</v>
      </c>
      <c r="C62" s="310">
        <v>91920</v>
      </c>
      <c r="D62" s="232">
        <v>2201</v>
      </c>
      <c r="E62" s="232">
        <v>2202</v>
      </c>
      <c r="F62" s="155">
        <v>60</v>
      </c>
      <c r="G62" s="212">
        <f t="shared" si="4"/>
        <v>1</v>
      </c>
      <c r="H62" s="96"/>
      <c r="I62" s="155">
        <f t="shared" si="3"/>
        <v>60</v>
      </c>
      <c r="J62" s="243"/>
      <c r="K62" s="160"/>
      <c r="L62" s="160"/>
      <c r="M62" s="160"/>
      <c r="N62" s="160"/>
      <c r="O62" s="160"/>
      <c r="P62" s="189"/>
      <c r="Q62" s="160"/>
      <c r="R62" s="244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243"/>
      <c r="AU62" s="160"/>
      <c r="AV62" s="160"/>
      <c r="AW62" s="160"/>
      <c r="AX62" s="160"/>
      <c r="AY62" s="160"/>
      <c r="AZ62" s="189"/>
      <c r="BA62" s="160"/>
      <c r="BB62" s="24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</row>
    <row r="63" spans="1:81" ht="12.75">
      <c r="A63" s="159"/>
      <c r="B63" s="173"/>
      <c r="C63" s="305">
        <v>622126192</v>
      </c>
      <c r="D63" s="306">
        <v>3.1</v>
      </c>
      <c r="E63" s="306">
        <v>7</v>
      </c>
      <c r="F63" s="155">
        <v>60</v>
      </c>
      <c r="G63" s="212">
        <f t="shared" si="4"/>
        <v>3.9</v>
      </c>
      <c r="H63" s="96"/>
      <c r="I63" s="155">
        <f aca="true" t="shared" si="5" ref="I63:I71">ROUND(F63*G63+H63,0)</f>
        <v>234</v>
      </c>
      <c r="J63" s="243"/>
      <c r="K63" s="160"/>
      <c r="L63" s="160"/>
      <c r="M63" s="160"/>
      <c r="N63" s="160"/>
      <c r="O63" s="160"/>
      <c r="P63" s="189"/>
      <c r="Q63" s="160"/>
      <c r="R63" s="244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243"/>
      <c r="AU63" s="160"/>
      <c r="AV63" s="160"/>
      <c r="AW63" s="160"/>
      <c r="AX63" s="160"/>
      <c r="AY63" s="160"/>
      <c r="AZ63" s="189"/>
      <c r="BA63" s="160"/>
      <c r="BB63" s="24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</row>
    <row r="64" spans="1:81" ht="12.75">
      <c r="A64" s="145" t="s">
        <v>260</v>
      </c>
      <c r="B64" s="143" t="s">
        <v>263</v>
      </c>
      <c r="C64" s="311">
        <v>867680800227776</v>
      </c>
      <c r="D64" s="232">
        <v>792.3</v>
      </c>
      <c r="E64" s="232">
        <v>794.6</v>
      </c>
      <c r="F64" s="155">
        <v>40</v>
      </c>
      <c r="G64" s="212">
        <f t="shared" si="4"/>
        <v>2.300000000000068</v>
      </c>
      <c r="H64" s="96"/>
      <c r="I64" s="155">
        <f t="shared" si="5"/>
        <v>92</v>
      </c>
      <c r="J64" s="243"/>
      <c r="K64" s="160"/>
      <c r="L64" s="160"/>
      <c r="M64" s="160"/>
      <c r="N64" s="160"/>
      <c r="O64" s="160"/>
      <c r="P64" s="189"/>
      <c r="Q64" s="160"/>
      <c r="R64" s="244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243"/>
      <c r="AU64" s="160"/>
      <c r="AV64" s="160"/>
      <c r="AW64" s="160"/>
      <c r="AX64" s="160"/>
      <c r="AY64" s="160"/>
      <c r="AZ64" s="189"/>
      <c r="BA64" s="160"/>
      <c r="BB64" s="24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</row>
    <row r="65" spans="1:81" ht="12.75">
      <c r="A65" s="159"/>
      <c r="B65" s="173" t="s">
        <v>256</v>
      </c>
      <c r="C65" s="311">
        <v>867680800227776</v>
      </c>
      <c r="D65" s="232">
        <v>763.2</v>
      </c>
      <c r="E65" s="232">
        <v>766</v>
      </c>
      <c r="F65" s="155">
        <v>40</v>
      </c>
      <c r="G65" s="212">
        <f t="shared" si="4"/>
        <v>2.7999999999999545</v>
      </c>
      <c r="H65" s="96"/>
      <c r="I65" s="155">
        <f t="shared" si="5"/>
        <v>112</v>
      </c>
      <c r="J65" s="243"/>
      <c r="K65" s="160"/>
      <c r="L65" s="160"/>
      <c r="M65" s="160"/>
      <c r="N65" s="160"/>
      <c r="O65" s="160"/>
      <c r="P65" s="189"/>
      <c r="Q65" s="160"/>
      <c r="R65" s="244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243"/>
      <c r="AU65" s="160"/>
      <c r="AV65" s="160"/>
      <c r="AW65" s="160"/>
      <c r="AX65" s="160"/>
      <c r="AY65" s="160"/>
      <c r="AZ65" s="189"/>
      <c r="BA65" s="160"/>
      <c r="BB65" s="24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</row>
    <row r="66" spans="1:81" ht="12.75">
      <c r="A66" s="159"/>
      <c r="B66" s="173" t="s">
        <v>256</v>
      </c>
      <c r="C66" s="305">
        <v>611126404</v>
      </c>
      <c r="D66" s="306">
        <v>2.2</v>
      </c>
      <c r="E66" s="306">
        <v>6</v>
      </c>
      <c r="F66" s="155">
        <v>40</v>
      </c>
      <c r="G66" s="212">
        <f t="shared" si="4"/>
        <v>3.8</v>
      </c>
      <c r="H66" s="155"/>
      <c r="I66" s="155">
        <f t="shared" si="5"/>
        <v>152</v>
      </c>
      <c r="J66" s="16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60"/>
      <c r="AU66" s="160"/>
      <c r="AV66" s="160"/>
      <c r="AW66" s="160"/>
      <c r="AX66" s="160"/>
      <c r="AY66" s="160"/>
      <c r="AZ66" s="160"/>
      <c r="BA66" s="160"/>
      <c r="BB66" s="160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</row>
    <row r="67" spans="1:81" ht="12.75">
      <c r="A67" s="145" t="s">
        <v>261</v>
      </c>
      <c r="B67" s="143" t="s">
        <v>468</v>
      </c>
      <c r="C67" s="305">
        <v>611127555</v>
      </c>
      <c r="D67" s="306">
        <v>2.2</v>
      </c>
      <c r="E67" s="306">
        <v>2.2</v>
      </c>
      <c r="F67" s="155">
        <v>400</v>
      </c>
      <c r="G67" s="212">
        <f aca="true" t="shared" si="6" ref="G67:G72">E67-D67</f>
        <v>0</v>
      </c>
      <c r="H67" s="155"/>
      <c r="I67" s="155">
        <f t="shared" si="5"/>
        <v>0</v>
      </c>
      <c r="J67" s="160"/>
      <c r="K67" s="160"/>
      <c r="L67" s="160"/>
      <c r="M67" s="160"/>
      <c r="N67" s="160"/>
      <c r="O67" s="160"/>
      <c r="P67" s="160"/>
      <c r="Q67" s="160"/>
      <c r="R67" s="16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60"/>
      <c r="AU67" s="160"/>
      <c r="AV67" s="160"/>
      <c r="AW67" s="160"/>
      <c r="AX67" s="160"/>
      <c r="AY67" s="160"/>
      <c r="AZ67" s="160"/>
      <c r="BA67" s="160"/>
      <c r="BB67" s="160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</row>
    <row r="68" spans="1:81" ht="13.5">
      <c r="A68" s="159"/>
      <c r="B68" s="173" t="s">
        <v>469</v>
      </c>
      <c r="C68" s="305">
        <v>611127687</v>
      </c>
      <c r="D68" s="306">
        <v>18.1</v>
      </c>
      <c r="E68" s="306">
        <v>32.1</v>
      </c>
      <c r="F68" s="155">
        <v>400</v>
      </c>
      <c r="G68" s="212">
        <f t="shared" si="6"/>
        <v>14</v>
      </c>
      <c r="H68" s="155"/>
      <c r="I68" s="155">
        <f t="shared" si="5"/>
        <v>5600</v>
      </c>
      <c r="J68" s="160"/>
      <c r="K68" s="160"/>
      <c r="L68" s="160"/>
      <c r="M68" s="160"/>
      <c r="N68" s="160"/>
      <c r="O68" s="242"/>
      <c r="P68" s="243"/>
      <c r="Q68" s="160"/>
      <c r="R68" s="16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60"/>
      <c r="AU68" s="160"/>
      <c r="AV68" s="160"/>
      <c r="AW68" s="160"/>
      <c r="AX68" s="160"/>
      <c r="AY68" s="242"/>
      <c r="AZ68" s="243"/>
      <c r="BA68" s="160"/>
      <c r="BB68" s="160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</row>
    <row r="69" spans="1:81" ht="12.75">
      <c r="A69" s="145" t="s">
        <v>477</v>
      </c>
      <c r="B69" s="143" t="s">
        <v>470</v>
      </c>
      <c r="C69" s="311">
        <v>635080400042534</v>
      </c>
      <c r="D69" s="211">
        <v>615</v>
      </c>
      <c r="E69" s="211">
        <v>616</v>
      </c>
      <c r="F69" s="155">
        <v>30</v>
      </c>
      <c r="G69" s="212">
        <f t="shared" si="6"/>
        <v>1</v>
      </c>
      <c r="H69" s="96"/>
      <c r="I69" s="155">
        <f t="shared" si="5"/>
        <v>30</v>
      </c>
      <c r="J69" s="160"/>
      <c r="K69" s="160"/>
      <c r="L69" s="160"/>
      <c r="M69" s="160"/>
      <c r="N69" s="160"/>
      <c r="O69" s="160"/>
      <c r="P69" s="160"/>
      <c r="Q69" s="160"/>
      <c r="R69" s="16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60"/>
      <c r="AU69" s="160"/>
      <c r="AV69" s="160"/>
      <c r="AW69" s="160"/>
      <c r="AX69" s="160"/>
      <c r="AY69" s="160"/>
      <c r="AZ69" s="160"/>
      <c r="BA69" s="160"/>
      <c r="BB69" s="160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</row>
    <row r="70" spans="1:81" ht="12.75">
      <c r="A70" s="159"/>
      <c r="B70" s="173" t="s">
        <v>471</v>
      </c>
      <c r="C70" s="311">
        <v>635080400042534</v>
      </c>
      <c r="D70" s="211">
        <v>440</v>
      </c>
      <c r="E70" s="211">
        <v>441</v>
      </c>
      <c r="F70" s="155">
        <v>30</v>
      </c>
      <c r="G70" s="212">
        <f t="shared" si="6"/>
        <v>1</v>
      </c>
      <c r="H70" s="96"/>
      <c r="I70" s="155">
        <f t="shared" si="5"/>
        <v>30</v>
      </c>
      <c r="J70" s="243"/>
      <c r="K70" s="160"/>
      <c r="L70" s="160"/>
      <c r="M70" s="160"/>
      <c r="N70" s="160"/>
      <c r="O70" s="160"/>
      <c r="P70" s="189"/>
      <c r="Q70" s="160"/>
      <c r="R70" s="244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243"/>
      <c r="AU70" s="160"/>
      <c r="AV70" s="160"/>
      <c r="AW70" s="160"/>
      <c r="AX70" s="160"/>
      <c r="AY70" s="160"/>
      <c r="AZ70" s="189"/>
      <c r="BA70" s="160"/>
      <c r="BB70" s="24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</row>
    <row r="71" spans="1:81" ht="12.75">
      <c r="A71" s="103"/>
      <c r="B71" s="144"/>
      <c r="C71" s="305">
        <v>611127724</v>
      </c>
      <c r="D71" s="306">
        <v>16.1</v>
      </c>
      <c r="E71" s="306">
        <v>24.2</v>
      </c>
      <c r="F71" s="155">
        <v>30</v>
      </c>
      <c r="G71" s="212">
        <f t="shared" si="6"/>
        <v>8.099999999999998</v>
      </c>
      <c r="H71" s="155"/>
      <c r="I71" s="155">
        <f t="shared" si="5"/>
        <v>243</v>
      </c>
      <c r="J71" s="243"/>
      <c r="K71" s="160"/>
      <c r="L71" s="160"/>
      <c r="M71" s="160"/>
      <c r="N71" s="160"/>
      <c r="O71" s="160"/>
      <c r="P71" s="189"/>
      <c r="Q71" s="160"/>
      <c r="R71" s="244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243"/>
      <c r="AU71" s="160"/>
      <c r="AV71" s="160"/>
      <c r="AW71" s="160"/>
      <c r="AX71" s="160"/>
      <c r="AY71" s="160"/>
      <c r="AZ71" s="189"/>
      <c r="BA71" s="160"/>
      <c r="BB71" s="24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</row>
    <row r="72" spans="1:81" ht="12.75">
      <c r="A72" s="96" t="s">
        <v>478</v>
      </c>
      <c r="B72" s="312" t="s">
        <v>472</v>
      </c>
      <c r="C72" s="171" t="s">
        <v>473</v>
      </c>
      <c r="D72" s="306">
        <v>2894.8</v>
      </c>
      <c r="E72" s="306">
        <v>2944.2</v>
      </c>
      <c r="F72" s="155">
        <v>40</v>
      </c>
      <c r="G72" s="212">
        <f t="shared" si="6"/>
        <v>49.399999999999636</v>
      </c>
      <c r="H72" s="155"/>
      <c r="I72" s="155">
        <f>ROUND(F72*G72+H72,0)</f>
        <v>1976</v>
      </c>
      <c r="J72" s="243"/>
      <c r="K72" s="160"/>
      <c r="L72" s="160"/>
      <c r="M72" s="160"/>
      <c r="N72" s="160"/>
      <c r="O72" s="160"/>
      <c r="P72" s="189"/>
      <c r="Q72" s="160"/>
      <c r="R72" s="244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243"/>
      <c r="AU72" s="160"/>
      <c r="AV72" s="160"/>
      <c r="AW72" s="160"/>
      <c r="AX72" s="160"/>
      <c r="AY72" s="160"/>
      <c r="AZ72" s="189"/>
      <c r="BA72" s="160"/>
      <c r="BB72" s="24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</row>
    <row r="73" spans="1:81" ht="12.75">
      <c r="A73" s="103"/>
      <c r="B73" s="148"/>
      <c r="C73" s="150"/>
      <c r="D73" s="150"/>
      <c r="E73" s="150"/>
      <c r="F73" s="150" t="s">
        <v>264</v>
      </c>
      <c r="G73" s="150"/>
      <c r="H73" s="151"/>
      <c r="I73" s="235">
        <f>SUM(I49:I68)-I72</f>
        <v>65145</v>
      </c>
      <c r="J73" s="243"/>
      <c r="K73" s="160"/>
      <c r="L73" s="160"/>
      <c r="M73" s="160"/>
      <c r="N73" s="160"/>
      <c r="O73" s="160"/>
      <c r="P73" s="189"/>
      <c r="Q73" s="160"/>
      <c r="R73" s="244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243"/>
      <c r="AU73" s="160"/>
      <c r="AV73" s="160"/>
      <c r="AW73" s="160"/>
      <c r="AX73" s="160"/>
      <c r="AY73" s="160"/>
      <c r="AZ73" s="189"/>
      <c r="BA73" s="160"/>
      <c r="BB73" s="24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</row>
    <row r="74" spans="1:81" ht="12.75">
      <c r="A74" s="102"/>
      <c r="B74" s="150"/>
      <c r="C74" s="150"/>
      <c r="D74" s="150"/>
      <c r="E74" s="150"/>
      <c r="F74" s="150"/>
      <c r="G74" s="150" t="s">
        <v>265</v>
      </c>
      <c r="H74" s="151"/>
      <c r="I74" s="235">
        <f>I20-I46-I73+I22</f>
        <v>4910859.800000036</v>
      </c>
      <c r="J74" s="160"/>
      <c r="K74" s="160"/>
      <c r="L74" s="160"/>
      <c r="M74" s="160"/>
      <c r="N74" s="160"/>
      <c r="O74" s="160"/>
      <c r="P74" s="190"/>
      <c r="Q74" s="160"/>
      <c r="R74" s="24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60"/>
      <c r="AU74" s="160"/>
      <c r="AV74" s="160"/>
      <c r="AW74" s="160"/>
      <c r="AX74" s="160"/>
      <c r="AY74" s="160"/>
      <c r="AZ74" s="190"/>
      <c r="BA74" s="160"/>
      <c r="BB74" s="240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</row>
    <row r="75" spans="1:81" ht="12.75">
      <c r="A75" s="96" t="s">
        <v>272</v>
      </c>
      <c r="B75" s="102" t="s">
        <v>266</v>
      </c>
      <c r="C75" s="150"/>
      <c r="D75" s="150"/>
      <c r="E75" s="150"/>
      <c r="F75" s="150"/>
      <c r="G75" s="150"/>
      <c r="H75" s="150"/>
      <c r="I75" s="151"/>
      <c r="J75" s="160"/>
      <c r="K75" s="160"/>
      <c r="L75" s="160"/>
      <c r="M75" s="160"/>
      <c r="N75" s="160"/>
      <c r="O75" s="160"/>
      <c r="P75" s="190"/>
      <c r="Q75" s="160"/>
      <c r="R75" s="24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60"/>
      <c r="AU75" s="160"/>
      <c r="AV75" s="160"/>
      <c r="AW75" s="160"/>
      <c r="AX75" s="160"/>
      <c r="AY75" s="160"/>
      <c r="AZ75" s="190"/>
      <c r="BA75" s="160"/>
      <c r="BB75" s="240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</row>
    <row r="76" spans="1:81" ht="12.75">
      <c r="A76" s="143" t="s">
        <v>270</v>
      </c>
      <c r="B76" s="143" t="s">
        <v>267</v>
      </c>
      <c r="C76" s="171">
        <v>307675</v>
      </c>
      <c r="D76" s="234">
        <v>9583.5</v>
      </c>
      <c r="E76" s="234">
        <v>9597</v>
      </c>
      <c r="F76" s="175">
        <v>30</v>
      </c>
      <c r="G76" s="233">
        <f>E76-D76</f>
        <v>13.5</v>
      </c>
      <c r="H76" s="143"/>
      <c r="I76" s="175">
        <f>F76*G76+H76</f>
        <v>405</v>
      </c>
      <c r="J76" s="160"/>
      <c r="K76" s="160"/>
      <c r="L76" s="160"/>
      <c r="M76" s="160"/>
      <c r="N76" s="160"/>
      <c r="O76" s="160"/>
      <c r="P76" s="190"/>
      <c r="Q76" s="160"/>
      <c r="R76" s="24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60"/>
      <c r="AU76" s="160"/>
      <c r="AV76" s="160"/>
      <c r="AW76" s="160"/>
      <c r="AX76" s="160"/>
      <c r="AY76" s="160"/>
      <c r="AZ76" s="190"/>
      <c r="BA76" s="160"/>
      <c r="BB76" s="240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</row>
    <row r="77" spans="1:81" ht="12.75">
      <c r="A77" s="144"/>
      <c r="B77" s="144" t="s">
        <v>268</v>
      </c>
      <c r="C77" s="169"/>
      <c r="D77" s="144"/>
      <c r="E77" s="144"/>
      <c r="F77" s="164"/>
      <c r="G77" s="144"/>
      <c r="H77" s="144"/>
      <c r="I77" s="144"/>
      <c r="J77" s="160"/>
      <c r="K77" s="160"/>
      <c r="L77" s="160"/>
      <c r="M77" s="160"/>
      <c r="N77" s="160"/>
      <c r="O77" s="160"/>
      <c r="P77" s="190"/>
      <c r="Q77" s="160"/>
      <c r="R77" s="24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60"/>
      <c r="AU77" s="160"/>
      <c r="AV77" s="160"/>
      <c r="AW77" s="160"/>
      <c r="AX77" s="160"/>
      <c r="AY77" s="160"/>
      <c r="AZ77" s="190"/>
      <c r="BA77" s="160"/>
      <c r="BB77" s="240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</row>
    <row r="78" spans="1:81" ht="12.75">
      <c r="A78" s="143" t="s">
        <v>271</v>
      </c>
      <c r="B78" s="143" t="s">
        <v>269</v>
      </c>
      <c r="C78" s="171">
        <v>307676</v>
      </c>
      <c r="D78" s="234">
        <v>4107.8</v>
      </c>
      <c r="E78" s="234">
        <v>4241</v>
      </c>
      <c r="F78" s="175">
        <v>30</v>
      </c>
      <c r="G78" s="233">
        <f>E78-D78</f>
        <v>133.19999999999982</v>
      </c>
      <c r="H78" s="143"/>
      <c r="I78" s="175">
        <f>F78*G78+H78</f>
        <v>3995.9999999999945</v>
      </c>
      <c r="J78" s="160"/>
      <c r="K78" s="160"/>
      <c r="L78" s="160"/>
      <c r="M78" s="160"/>
      <c r="N78" s="160"/>
      <c r="O78" s="160"/>
      <c r="P78" s="190"/>
      <c r="Q78" s="160"/>
      <c r="R78" s="24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60"/>
      <c r="AU78" s="160"/>
      <c r="AV78" s="160"/>
      <c r="AW78" s="160"/>
      <c r="AX78" s="160"/>
      <c r="AY78" s="160"/>
      <c r="AZ78" s="190"/>
      <c r="BA78" s="160"/>
      <c r="BB78" s="240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</row>
    <row r="79" spans="1:81" ht="12.75">
      <c r="A79" s="144"/>
      <c r="B79" s="144" t="s">
        <v>268</v>
      </c>
      <c r="C79" s="169"/>
      <c r="D79" s="144"/>
      <c r="E79" s="144"/>
      <c r="F79" s="164"/>
      <c r="G79" s="144"/>
      <c r="H79" s="144"/>
      <c r="I79" s="144"/>
      <c r="J79" s="160"/>
      <c r="K79" s="160"/>
      <c r="L79" s="160"/>
      <c r="M79" s="160"/>
      <c r="N79" s="160"/>
      <c r="O79" s="160"/>
      <c r="P79" s="190"/>
      <c r="Q79" s="160"/>
      <c r="R79" s="24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60"/>
      <c r="AU79" s="160"/>
      <c r="AV79" s="160"/>
      <c r="AW79" s="160"/>
      <c r="AX79" s="160"/>
      <c r="AY79" s="160"/>
      <c r="AZ79" s="190"/>
      <c r="BA79" s="160"/>
      <c r="BB79" s="240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</row>
    <row r="80" spans="1:81" ht="12.75">
      <c r="A80" s="102"/>
      <c r="B80" s="150"/>
      <c r="C80" s="217"/>
      <c r="D80" s="199"/>
      <c r="E80" s="218"/>
      <c r="F80" s="218" t="s">
        <v>273</v>
      </c>
      <c r="G80" s="219"/>
      <c r="H80" s="151"/>
      <c r="I80" s="155">
        <f>I76+I78</f>
        <v>4400.9999999999945</v>
      </c>
      <c r="J80" s="243"/>
      <c r="K80" s="160"/>
      <c r="L80" s="160"/>
      <c r="M80" s="160"/>
      <c r="N80" s="160"/>
      <c r="O80" s="160"/>
      <c r="P80" s="189"/>
      <c r="Q80" s="160"/>
      <c r="R80" s="244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243"/>
      <c r="AU80" s="160"/>
      <c r="AV80" s="160"/>
      <c r="AW80" s="160"/>
      <c r="AX80" s="160"/>
      <c r="AY80" s="160"/>
      <c r="AZ80" s="189"/>
      <c r="BA80" s="160"/>
      <c r="BB80" s="24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</row>
    <row r="81" spans="1:81" ht="12.75">
      <c r="A81" s="102"/>
      <c r="B81" s="150"/>
      <c r="C81" s="217"/>
      <c r="D81" s="199"/>
      <c r="E81" s="218"/>
      <c r="F81" s="218"/>
      <c r="G81" s="219" t="s">
        <v>274</v>
      </c>
      <c r="H81" s="151"/>
      <c r="I81" s="235">
        <f>I74+I80</f>
        <v>4915260.800000036</v>
      </c>
      <c r="J81" s="160"/>
      <c r="K81" s="160"/>
      <c r="L81" s="160"/>
      <c r="M81" s="160"/>
      <c r="N81" s="160"/>
      <c r="O81" s="160"/>
      <c r="P81" s="190"/>
      <c r="Q81" s="160"/>
      <c r="R81" s="24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60"/>
      <c r="AU81" s="160"/>
      <c r="AV81" s="160"/>
      <c r="AW81" s="160"/>
      <c r="AX81" s="160"/>
      <c r="AY81" s="160"/>
      <c r="AZ81" s="190"/>
      <c r="BA81" s="160"/>
      <c r="BB81" s="240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</row>
    <row r="82" spans="1:81" ht="12.75">
      <c r="A82" s="145" t="s">
        <v>275</v>
      </c>
      <c r="B82" s="146"/>
      <c r="C82" s="220"/>
      <c r="D82" s="202"/>
      <c r="E82" s="221"/>
      <c r="F82" s="221"/>
      <c r="G82" s="204"/>
      <c r="H82" s="146"/>
      <c r="I82" s="205"/>
      <c r="J82" s="160"/>
      <c r="K82" s="160"/>
      <c r="L82" s="160"/>
      <c r="M82" s="160"/>
      <c r="N82" s="160"/>
      <c r="O82" s="160"/>
      <c r="P82" s="190"/>
      <c r="Q82" s="160"/>
      <c r="R82" s="24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60"/>
      <c r="AU82" s="160"/>
      <c r="AV82" s="160"/>
      <c r="AW82" s="160"/>
      <c r="AX82" s="160"/>
      <c r="AY82" s="160"/>
      <c r="AZ82" s="190"/>
      <c r="BA82" s="160"/>
      <c r="BB82" s="240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</row>
    <row r="83" spans="1:81" ht="12.75">
      <c r="A83" s="222" t="s">
        <v>276</v>
      </c>
      <c r="B83" s="223"/>
      <c r="C83" s="223"/>
      <c r="D83" s="191"/>
      <c r="E83" s="148"/>
      <c r="F83" s="148"/>
      <c r="G83" s="148"/>
      <c r="H83" s="148"/>
      <c r="I83" s="209"/>
      <c r="J83" s="160"/>
      <c r="K83" s="160"/>
      <c r="L83" s="160"/>
      <c r="M83" s="160"/>
      <c r="N83" s="160"/>
      <c r="O83" s="160"/>
      <c r="P83" s="190"/>
      <c r="Q83" s="160"/>
      <c r="R83" s="24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60"/>
      <c r="AU83" s="160"/>
      <c r="AV83" s="160"/>
      <c r="AW83" s="160"/>
      <c r="AX83" s="160"/>
      <c r="AY83" s="160"/>
      <c r="AZ83" s="190"/>
      <c r="BA83" s="160"/>
      <c r="BB83" s="240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</row>
    <row r="84" spans="1:81" ht="12.75">
      <c r="A84" s="160" t="s">
        <v>279</v>
      </c>
      <c r="B84" s="160"/>
      <c r="C84" s="264"/>
      <c r="D84" s="181"/>
      <c r="E84" s="265"/>
      <c r="F84" s="265"/>
      <c r="G84" s="188"/>
      <c r="H84" s="160"/>
      <c r="I84" s="190"/>
      <c r="J84" s="160"/>
      <c r="K84" s="160"/>
      <c r="L84" s="160"/>
      <c r="M84" s="160"/>
      <c r="N84" s="160"/>
      <c r="O84" s="160"/>
      <c r="P84" s="190"/>
      <c r="Q84" s="160"/>
      <c r="R84" s="24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60"/>
      <c r="AU84" s="160"/>
      <c r="AV84" s="160"/>
      <c r="AW84" s="160"/>
      <c r="AX84" s="160"/>
      <c r="AY84" s="160"/>
      <c r="AZ84" s="190"/>
      <c r="BA84" s="160"/>
      <c r="BB84" s="240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</row>
    <row r="85" spans="1:81" ht="12.75">
      <c r="A85" s="160"/>
      <c r="B85" s="160"/>
      <c r="C85" s="181"/>
      <c r="D85" s="313" t="s">
        <v>280</v>
      </c>
      <c r="E85" s="313"/>
      <c r="F85" s="314"/>
      <c r="G85" s="243"/>
      <c r="H85" s="243"/>
      <c r="I85" s="189"/>
      <c r="J85" s="160"/>
      <c r="K85" s="160"/>
      <c r="L85" s="188"/>
      <c r="M85" s="188"/>
      <c r="N85" s="160"/>
      <c r="O85" s="160"/>
      <c r="P85" s="190"/>
      <c r="Q85" s="160"/>
      <c r="R85" s="24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60"/>
      <c r="AU85" s="160"/>
      <c r="AV85" s="188"/>
      <c r="AW85" s="188"/>
      <c r="AX85" s="160"/>
      <c r="AY85" s="160"/>
      <c r="AZ85" s="190"/>
      <c r="BA85" s="160"/>
      <c r="BB85" s="240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</row>
    <row r="86" spans="1:81" ht="12.75">
      <c r="A86" s="160"/>
      <c r="B86" s="160"/>
      <c r="C86" s="181"/>
      <c r="D86" s="313" t="s">
        <v>474</v>
      </c>
      <c r="E86" s="313"/>
      <c r="F86" s="314"/>
      <c r="G86" s="243"/>
      <c r="H86" s="243"/>
      <c r="I86" s="189"/>
      <c r="J86" s="243"/>
      <c r="K86" s="160"/>
      <c r="L86" s="160"/>
      <c r="M86" s="160"/>
      <c r="N86" s="160"/>
      <c r="O86" s="160"/>
      <c r="P86" s="189"/>
      <c r="Q86" s="160"/>
      <c r="R86" s="244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243"/>
      <c r="AU86" s="160"/>
      <c r="AV86" s="160"/>
      <c r="AW86" s="160"/>
      <c r="AX86" s="160"/>
      <c r="AY86" s="160"/>
      <c r="AZ86" s="189"/>
      <c r="BA86" s="160"/>
      <c r="BB86" s="24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</row>
    <row r="87" spans="1:81" ht="12.75">
      <c r="A87" s="160"/>
      <c r="B87" s="160"/>
      <c r="C87" s="264"/>
      <c r="D87" s="313" t="s">
        <v>285</v>
      </c>
      <c r="E87" s="313"/>
      <c r="F87" s="314"/>
      <c r="G87" s="243"/>
      <c r="H87" s="243"/>
      <c r="I87" s="189"/>
      <c r="J87" s="160"/>
      <c r="K87" s="160"/>
      <c r="L87" s="160"/>
      <c r="M87" s="160"/>
      <c r="N87" s="160"/>
      <c r="O87" s="160"/>
      <c r="P87" s="190"/>
      <c r="Q87" s="160"/>
      <c r="R87" s="24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60"/>
      <c r="AU87" s="160"/>
      <c r="AV87" s="160"/>
      <c r="AW87" s="160"/>
      <c r="AX87" s="160"/>
      <c r="AY87" s="160"/>
      <c r="AZ87" s="190"/>
      <c r="BA87" s="160"/>
      <c r="BB87" s="240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</row>
    <row r="88" spans="1:81" ht="12.75">
      <c r="A88" s="120"/>
      <c r="B88" s="120"/>
      <c r="C88" s="120"/>
      <c r="D88" s="120" t="s">
        <v>192</v>
      </c>
      <c r="E88" s="120"/>
      <c r="F88" s="120"/>
      <c r="G88" s="120"/>
      <c r="H88" s="120"/>
      <c r="I88" s="120"/>
      <c r="J88" s="160"/>
      <c r="K88" s="160"/>
      <c r="L88" s="160"/>
      <c r="M88" s="160"/>
      <c r="N88" s="160"/>
      <c r="O88" s="160"/>
      <c r="P88" s="190"/>
      <c r="Q88" s="160"/>
      <c r="R88" s="24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60" t="s">
        <v>399</v>
      </c>
      <c r="AU88" s="120"/>
      <c r="AV88" s="120"/>
      <c r="AW88" s="120"/>
      <c r="AX88" s="120"/>
      <c r="AY88" s="120"/>
      <c r="AZ88" s="120"/>
      <c r="BA88" s="120"/>
      <c r="BB88" s="120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</row>
    <row r="89" spans="1:81" ht="12.75">
      <c r="A89" s="120"/>
      <c r="B89" s="120"/>
      <c r="C89" s="120"/>
      <c r="D89" s="120" t="s">
        <v>193</v>
      </c>
      <c r="E89" s="120"/>
      <c r="F89" s="120"/>
      <c r="G89" s="120"/>
      <c r="H89" s="120"/>
      <c r="I89" s="120"/>
      <c r="J89" s="243"/>
      <c r="K89" s="160"/>
      <c r="L89" s="160"/>
      <c r="M89" s="160"/>
      <c r="N89" s="160"/>
      <c r="O89" s="160"/>
      <c r="P89" s="189"/>
      <c r="Q89" s="160"/>
      <c r="R89" s="244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60" t="s">
        <v>170</v>
      </c>
      <c r="AU89" s="120"/>
      <c r="AV89" s="120"/>
      <c r="AW89" s="120"/>
      <c r="AX89" s="120"/>
      <c r="AY89" s="120"/>
      <c r="AZ89" s="120"/>
      <c r="BA89" s="120"/>
      <c r="BB89" s="120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</row>
    <row r="90" spans="1:81" ht="13.5">
      <c r="A90" s="120"/>
      <c r="B90" s="120"/>
      <c r="C90" s="120"/>
      <c r="D90" s="120"/>
      <c r="E90" s="120"/>
      <c r="F90" s="120"/>
      <c r="G90" s="120"/>
      <c r="H90" s="120"/>
      <c r="I90" s="120"/>
      <c r="J90" s="243"/>
      <c r="K90" s="160"/>
      <c r="L90" s="160"/>
      <c r="M90" s="160"/>
      <c r="N90" s="160"/>
      <c r="O90" s="160"/>
      <c r="P90" s="189"/>
      <c r="Q90" s="160"/>
      <c r="R90" s="244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60"/>
      <c r="AU90" s="120" t="s">
        <v>4</v>
      </c>
      <c r="AV90" s="120"/>
      <c r="AW90" s="120"/>
      <c r="AX90" s="120"/>
      <c r="AY90" s="254" t="s">
        <v>480</v>
      </c>
      <c r="AZ90" s="196" t="s">
        <v>187</v>
      </c>
      <c r="BA90" s="120"/>
      <c r="BB90" s="120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</row>
    <row r="91" spans="1:81" ht="12.75">
      <c r="A91" s="120"/>
      <c r="B91" s="120"/>
      <c r="C91" s="120" t="s">
        <v>194</v>
      </c>
      <c r="D91" s="120"/>
      <c r="E91" s="120"/>
      <c r="F91" s="120"/>
      <c r="G91" s="120"/>
      <c r="H91" s="120"/>
      <c r="I91" s="120"/>
      <c r="J91" s="243"/>
      <c r="K91" s="160"/>
      <c r="L91" s="160"/>
      <c r="M91" s="160"/>
      <c r="N91" s="160"/>
      <c r="O91" s="160"/>
      <c r="P91" s="189"/>
      <c r="Q91" s="160"/>
      <c r="R91" s="244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50" t="s">
        <v>108</v>
      </c>
      <c r="AU91" s="150"/>
      <c r="AV91" s="150"/>
      <c r="AW91" s="150"/>
      <c r="AX91" s="150"/>
      <c r="AY91" s="151"/>
      <c r="AZ91" s="96" t="s">
        <v>175</v>
      </c>
      <c r="BA91" s="96"/>
      <c r="BB91" s="96" t="s">
        <v>109</v>
      </c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</row>
    <row r="92" spans="1:81" ht="12.75">
      <c r="A92" s="120"/>
      <c r="B92" s="120"/>
      <c r="C92" s="120"/>
      <c r="D92" s="277" t="s">
        <v>465</v>
      </c>
      <c r="E92" s="277"/>
      <c r="F92" s="120"/>
      <c r="G92" s="120"/>
      <c r="H92" s="120"/>
      <c r="I92" s="120"/>
      <c r="J92" s="243"/>
      <c r="K92" s="160"/>
      <c r="L92" s="160"/>
      <c r="M92" s="160"/>
      <c r="N92" s="160"/>
      <c r="O92" s="160"/>
      <c r="P92" s="189"/>
      <c r="Q92" s="160"/>
      <c r="R92" s="244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214" t="s">
        <v>301</v>
      </c>
      <c r="AU92" s="150"/>
      <c r="AV92" s="150"/>
      <c r="AW92" s="150"/>
      <c r="AX92" s="150"/>
      <c r="AY92" s="151"/>
      <c r="AZ92" s="235">
        <v>46320</v>
      </c>
      <c r="BA92" s="199"/>
      <c r="BB92" s="299">
        <f>AZ92*BB57</f>
        <v>123674.4</v>
      </c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</row>
    <row r="93" spans="1:81" ht="12.75">
      <c r="A93" s="120"/>
      <c r="B93" s="120"/>
      <c r="C93" s="120"/>
      <c r="D93" s="120"/>
      <c r="E93" s="120"/>
      <c r="F93" s="120"/>
      <c r="G93" s="120"/>
      <c r="H93" s="120"/>
      <c r="I93" s="120"/>
      <c r="J93" s="243"/>
      <c r="K93" s="160"/>
      <c r="L93" s="160"/>
      <c r="M93" s="160"/>
      <c r="N93" s="160"/>
      <c r="O93" s="160"/>
      <c r="P93" s="189"/>
      <c r="Q93" s="160"/>
      <c r="R93" s="244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273" t="s">
        <v>300</v>
      </c>
      <c r="AU93" s="150"/>
      <c r="AV93" s="150"/>
      <c r="AW93" s="150"/>
      <c r="AX93" s="150"/>
      <c r="AY93" s="151"/>
      <c r="AZ93" s="235">
        <f>AZ130-SUM(AZ111:AZ119)-AZ108-AZ102-AZ95-AZ94-AZ92</f>
        <v>3587652.800000036</v>
      </c>
      <c r="BA93" s="199"/>
      <c r="BB93" s="299">
        <f>AZ93*BB57</f>
        <v>9579032.976000097</v>
      </c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</row>
    <row r="94" spans="1:81" ht="12.75">
      <c r="A94" s="120" t="s">
        <v>195</v>
      </c>
      <c r="B94" s="120"/>
      <c r="C94" s="120"/>
      <c r="D94" s="120"/>
      <c r="E94" s="120"/>
      <c r="F94" s="120"/>
      <c r="G94" s="120"/>
      <c r="H94" s="120"/>
      <c r="I94" s="120"/>
      <c r="J94" s="243"/>
      <c r="K94" s="243"/>
      <c r="L94" s="160"/>
      <c r="M94" s="160"/>
      <c r="N94" s="160"/>
      <c r="O94" s="160"/>
      <c r="P94" s="189"/>
      <c r="Q94" s="160"/>
      <c r="R94" s="244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273" t="s">
        <v>299</v>
      </c>
      <c r="AU94" s="150"/>
      <c r="AV94" s="150"/>
      <c r="AW94" s="150"/>
      <c r="AX94" s="150"/>
      <c r="AY94" s="151"/>
      <c r="AZ94" s="235">
        <v>146177</v>
      </c>
      <c r="BA94" s="199"/>
      <c r="BB94" s="299">
        <f>AZ94*BB57</f>
        <v>390292.58999999997</v>
      </c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</row>
    <row r="95" spans="1:81" ht="12.75">
      <c r="A95" s="120" t="s">
        <v>196</v>
      </c>
      <c r="B95" s="120"/>
      <c r="C95" s="120"/>
      <c r="D95" s="120"/>
      <c r="E95" s="120"/>
      <c r="F95" s="120" t="s">
        <v>197</v>
      </c>
      <c r="G95" s="120"/>
      <c r="H95" s="120"/>
      <c r="I95" s="120"/>
      <c r="J95" s="243"/>
      <c r="K95" s="243"/>
      <c r="L95" s="160"/>
      <c r="M95" s="160"/>
      <c r="N95" s="160"/>
      <c r="O95" s="160"/>
      <c r="P95" s="189"/>
      <c r="Q95" s="160"/>
      <c r="R95" s="244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255" t="s">
        <v>85</v>
      </c>
      <c r="AU95" s="146"/>
      <c r="AV95" s="146"/>
      <c r="AW95" s="146"/>
      <c r="AX95" s="146"/>
      <c r="AY95" s="147"/>
      <c r="AZ95" s="300">
        <f>SUM(AZ96:AZ101)</f>
        <v>857186</v>
      </c>
      <c r="BA95" s="202"/>
      <c r="BB95" s="299">
        <f>AZ95*BB57</f>
        <v>2288686.62</v>
      </c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</row>
    <row r="96" spans="1:81" ht="12.75">
      <c r="A96" s="120" t="s">
        <v>198</v>
      </c>
      <c r="B96" s="120"/>
      <c r="C96" s="120"/>
      <c r="D96" s="120"/>
      <c r="E96" s="120"/>
      <c r="F96" s="120"/>
      <c r="G96" s="120"/>
      <c r="H96" s="120"/>
      <c r="I96" s="120"/>
      <c r="J96" s="243"/>
      <c r="K96" s="243"/>
      <c r="L96" s="160"/>
      <c r="M96" s="160"/>
      <c r="N96" s="160"/>
      <c r="O96" s="160"/>
      <c r="P96" s="189"/>
      <c r="Q96" s="160"/>
      <c r="R96" s="244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59" t="s">
        <v>87</v>
      </c>
      <c r="AU96" s="160"/>
      <c r="AV96" s="160"/>
      <c r="AW96" s="160"/>
      <c r="AX96" s="160"/>
      <c r="AY96" s="161"/>
      <c r="AZ96" s="163">
        <v>325688</v>
      </c>
      <c r="BA96" s="181"/>
      <c r="BB96" s="299">
        <f>AZ96*BB57</f>
        <v>869586.96</v>
      </c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</row>
    <row r="97" spans="1:81" ht="12.75">
      <c r="A97" s="120"/>
      <c r="B97" s="120"/>
      <c r="C97" s="120"/>
      <c r="D97" s="120"/>
      <c r="E97" s="120"/>
      <c r="F97" s="120"/>
      <c r="G97" s="120"/>
      <c r="H97" s="120"/>
      <c r="I97" s="120"/>
      <c r="J97" s="243"/>
      <c r="K97" s="243"/>
      <c r="L97" s="160"/>
      <c r="M97" s="160"/>
      <c r="N97" s="160"/>
      <c r="O97" s="160"/>
      <c r="P97" s="189"/>
      <c r="Q97" s="160"/>
      <c r="R97" s="244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59" t="s">
        <v>88</v>
      </c>
      <c r="AU97" s="160"/>
      <c r="AV97" s="160"/>
      <c r="AW97" s="160"/>
      <c r="AX97" s="160"/>
      <c r="AY97" s="161"/>
      <c r="AZ97" s="163">
        <v>406925</v>
      </c>
      <c r="BA97" s="181"/>
      <c r="BB97" s="299">
        <f>AZ97*BB57</f>
        <v>1086489.75</v>
      </c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</row>
    <row r="98" spans="1:81" ht="12.75">
      <c r="A98" s="143" t="s">
        <v>335</v>
      </c>
      <c r="B98" s="171" t="s">
        <v>199</v>
      </c>
      <c r="C98" s="143" t="s">
        <v>200</v>
      </c>
      <c r="D98" s="224" t="s">
        <v>286</v>
      </c>
      <c r="E98" s="225"/>
      <c r="F98" s="143" t="s">
        <v>201</v>
      </c>
      <c r="G98" s="143" t="s">
        <v>404</v>
      </c>
      <c r="H98" s="143" t="s">
        <v>202</v>
      </c>
      <c r="I98" s="143" t="s">
        <v>191</v>
      </c>
      <c r="J98" s="160"/>
      <c r="K98" s="160"/>
      <c r="L98" s="160"/>
      <c r="M98" s="160"/>
      <c r="N98" s="160"/>
      <c r="O98" s="160"/>
      <c r="P98" s="189"/>
      <c r="Q98" s="160"/>
      <c r="R98" s="244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59" t="s">
        <v>89</v>
      </c>
      <c r="AU98" s="160"/>
      <c r="AV98" s="160"/>
      <c r="AW98" s="160"/>
      <c r="AX98" s="160"/>
      <c r="AY98" s="161"/>
      <c r="AZ98" s="163">
        <v>120145</v>
      </c>
      <c r="BA98" s="181"/>
      <c r="BB98" s="299">
        <f>AZ98*BB57</f>
        <v>320787.14999999997</v>
      </c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</row>
    <row r="99" spans="1:81" ht="12.75">
      <c r="A99" s="173"/>
      <c r="B99" s="173"/>
      <c r="C99" s="173"/>
      <c r="D99" s="143" t="s">
        <v>203</v>
      </c>
      <c r="E99" s="145" t="s">
        <v>204</v>
      </c>
      <c r="F99" s="173" t="s">
        <v>205</v>
      </c>
      <c r="G99" s="173" t="s">
        <v>190</v>
      </c>
      <c r="H99" s="173"/>
      <c r="I99" s="173" t="s">
        <v>206</v>
      </c>
      <c r="J99" s="160"/>
      <c r="K99" s="160"/>
      <c r="L99" s="160"/>
      <c r="M99" s="160"/>
      <c r="N99" s="160"/>
      <c r="O99" s="160"/>
      <c r="P99" s="189"/>
      <c r="Q99" s="160"/>
      <c r="R99" s="244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59" t="s">
        <v>90</v>
      </c>
      <c r="AU99" s="160"/>
      <c r="AV99" s="160"/>
      <c r="AW99" s="160"/>
      <c r="AX99" s="160"/>
      <c r="AY99" s="161"/>
      <c r="AZ99" s="163">
        <v>420</v>
      </c>
      <c r="BA99" s="181"/>
      <c r="BB99" s="299">
        <f>AZ99*BB57</f>
        <v>1121.3999999999999</v>
      </c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</row>
    <row r="100" spans="1:81" ht="12.75">
      <c r="A100" s="144"/>
      <c r="B100" s="144"/>
      <c r="C100" s="144"/>
      <c r="D100" s="144" t="s">
        <v>207</v>
      </c>
      <c r="E100" s="103" t="s">
        <v>207</v>
      </c>
      <c r="F100" s="144" t="s">
        <v>208</v>
      </c>
      <c r="G100" s="144"/>
      <c r="H100" s="144"/>
      <c r="I100" s="144"/>
      <c r="J100" s="160"/>
      <c r="K100" s="160"/>
      <c r="L100" s="160"/>
      <c r="M100" s="160"/>
      <c r="N100" s="160"/>
      <c r="O100" s="160"/>
      <c r="P100" s="189"/>
      <c r="Q100" s="160"/>
      <c r="R100" s="244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59" t="s">
        <v>91</v>
      </c>
      <c r="AU100" s="160"/>
      <c r="AV100" s="160"/>
      <c r="AW100" s="160"/>
      <c r="AX100" s="160"/>
      <c r="AY100" s="161"/>
      <c r="AZ100" s="163">
        <v>2308</v>
      </c>
      <c r="BA100" s="181"/>
      <c r="BB100" s="299">
        <f>AZ100*BB57</f>
        <v>6162.36</v>
      </c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</row>
    <row r="101" spans="1:81" ht="12.75">
      <c r="A101" s="152">
        <v>1</v>
      </c>
      <c r="B101" s="152">
        <v>2</v>
      </c>
      <c r="C101" s="152">
        <v>3</v>
      </c>
      <c r="D101" s="152">
        <v>4</v>
      </c>
      <c r="E101" s="152">
        <v>5</v>
      </c>
      <c r="F101" s="152">
        <v>6</v>
      </c>
      <c r="G101" s="152">
        <v>7</v>
      </c>
      <c r="H101" s="152">
        <v>8</v>
      </c>
      <c r="I101" s="152">
        <v>9</v>
      </c>
      <c r="J101" s="160"/>
      <c r="K101" s="160"/>
      <c r="L101" s="160"/>
      <c r="M101" s="160"/>
      <c r="N101" s="160"/>
      <c r="O101" s="160"/>
      <c r="P101" s="189"/>
      <c r="Q101" s="160"/>
      <c r="R101" s="244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03" t="s">
        <v>41</v>
      </c>
      <c r="AU101" s="148"/>
      <c r="AV101" s="148"/>
      <c r="AW101" s="148"/>
      <c r="AX101" s="148"/>
      <c r="AY101" s="149"/>
      <c r="AZ101" s="164">
        <v>1700</v>
      </c>
      <c r="BA101" s="191"/>
      <c r="BB101" s="299">
        <f>AZ101*BB57</f>
        <v>4539</v>
      </c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</row>
    <row r="102" spans="1:81" ht="12.75">
      <c r="A102" s="103"/>
      <c r="B102" s="148"/>
      <c r="C102" s="320" t="s">
        <v>287</v>
      </c>
      <c r="D102" s="320"/>
      <c r="E102" s="148"/>
      <c r="F102" s="148"/>
      <c r="G102" s="148"/>
      <c r="H102" s="148"/>
      <c r="I102" s="149"/>
      <c r="J102" s="160"/>
      <c r="K102" s="160"/>
      <c r="L102" s="160"/>
      <c r="M102" s="160"/>
      <c r="N102" s="160"/>
      <c r="O102" s="160"/>
      <c r="P102" s="189"/>
      <c r="Q102" s="160"/>
      <c r="R102" s="244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255" t="s">
        <v>303</v>
      </c>
      <c r="AU102" s="146"/>
      <c r="AV102" s="146"/>
      <c r="AW102" s="146"/>
      <c r="AX102" s="146"/>
      <c r="AY102" s="147"/>
      <c r="AZ102" s="300">
        <f>SUM(AZ103:AZ107)</f>
        <v>14618</v>
      </c>
      <c r="BA102" s="202"/>
      <c r="BB102" s="299">
        <f>AZ102*BB57</f>
        <v>39030.06</v>
      </c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</row>
    <row r="103" spans="1:81" ht="12.75">
      <c r="A103" s="96"/>
      <c r="B103" s="102" t="s">
        <v>210</v>
      </c>
      <c r="C103" s="150"/>
      <c r="D103" s="150"/>
      <c r="E103" s="150"/>
      <c r="F103" s="150"/>
      <c r="G103" s="150"/>
      <c r="H103" s="150"/>
      <c r="I103" s="151"/>
      <c r="J103" s="160"/>
      <c r="K103" s="160"/>
      <c r="L103" s="188"/>
      <c r="M103" s="188"/>
      <c r="N103" s="160"/>
      <c r="O103" s="160"/>
      <c r="P103" s="189"/>
      <c r="Q103" s="160"/>
      <c r="R103" s="244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59"/>
      <c r="AU103" s="160" t="s">
        <v>389</v>
      </c>
      <c r="AV103" s="160"/>
      <c r="AW103" s="160"/>
      <c r="AX103" s="160"/>
      <c r="AY103" s="161"/>
      <c r="AZ103" s="163">
        <v>1520</v>
      </c>
      <c r="BA103" s="181"/>
      <c r="BB103" s="299">
        <f>AZ103*BB57</f>
        <v>4058.4</v>
      </c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</row>
    <row r="104" spans="1:81" ht="12.75">
      <c r="A104" s="96"/>
      <c r="B104" s="102" t="s">
        <v>211</v>
      </c>
      <c r="C104" s="150"/>
      <c r="D104" s="150"/>
      <c r="E104" s="150"/>
      <c r="F104" s="150"/>
      <c r="G104" s="150"/>
      <c r="H104" s="150"/>
      <c r="I104" s="151"/>
      <c r="J104" s="160"/>
      <c r="K104" s="160"/>
      <c r="L104" s="160"/>
      <c r="M104" s="160"/>
      <c r="N104" s="160"/>
      <c r="O104" s="160"/>
      <c r="P104" s="190"/>
      <c r="Q104" s="160"/>
      <c r="R104" s="16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59" t="s">
        <v>385</v>
      </c>
      <c r="AU104" s="160"/>
      <c r="AV104" s="160" t="s">
        <v>304</v>
      </c>
      <c r="AW104" s="160"/>
      <c r="AX104" s="160"/>
      <c r="AY104" s="161"/>
      <c r="AZ104" s="163">
        <v>4960</v>
      </c>
      <c r="BA104" s="181"/>
      <c r="BB104" s="299">
        <f>AZ104*BB57</f>
        <v>13243.199999999999</v>
      </c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</row>
    <row r="105" spans="1:81" ht="12.75">
      <c r="A105" s="171">
        <v>1</v>
      </c>
      <c r="B105" s="143" t="s">
        <v>249</v>
      </c>
      <c r="C105" s="197">
        <v>109056121</v>
      </c>
      <c r="D105" s="211">
        <v>2792.6</v>
      </c>
      <c r="E105" s="211">
        <v>2824.2</v>
      </c>
      <c r="F105" s="155">
        <v>36000</v>
      </c>
      <c r="G105" s="212">
        <f>E105-D105</f>
        <v>31.59999999999991</v>
      </c>
      <c r="H105" s="96"/>
      <c r="I105" s="155">
        <f>F105*G105+H105</f>
        <v>1137599.9999999967</v>
      </c>
      <c r="J105" s="160"/>
      <c r="K105" s="160"/>
      <c r="L105" s="160"/>
      <c r="M105" s="160"/>
      <c r="N105" s="160"/>
      <c r="O105" s="160"/>
      <c r="P105" s="190"/>
      <c r="Q105" s="160"/>
      <c r="R105" s="16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59" t="s">
        <v>385</v>
      </c>
      <c r="AU105" s="160"/>
      <c r="AV105" s="160" t="s">
        <v>390</v>
      </c>
      <c r="AW105" s="160"/>
      <c r="AX105" s="160"/>
      <c r="AY105" s="161"/>
      <c r="AZ105" s="163">
        <v>100</v>
      </c>
      <c r="BA105" s="181"/>
      <c r="BB105" s="299">
        <f>AZ105*BB57</f>
        <v>267</v>
      </c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</row>
    <row r="106" spans="1:81" ht="12.75">
      <c r="A106" s="144"/>
      <c r="B106" s="103" t="s">
        <v>250</v>
      </c>
      <c r="C106" s="213">
        <v>109053225</v>
      </c>
      <c r="D106" s="211">
        <v>4017.2</v>
      </c>
      <c r="E106" s="211">
        <v>4073.8</v>
      </c>
      <c r="F106" s="155">
        <v>36000</v>
      </c>
      <c r="G106" s="212">
        <f>E106-D106</f>
        <v>56.600000000000364</v>
      </c>
      <c r="H106" s="96"/>
      <c r="I106" s="155">
        <f>F106*G106+H106</f>
        <v>2037600.000000013</v>
      </c>
      <c r="J106" s="160"/>
      <c r="K106" s="160"/>
      <c r="L106" s="160"/>
      <c r="M106" s="160"/>
      <c r="N106" s="160"/>
      <c r="O106" s="160"/>
      <c r="P106" s="190"/>
      <c r="Q106" s="160"/>
      <c r="R106" s="16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60"/>
      <c r="AU106" s="160"/>
      <c r="AV106" s="160" t="s">
        <v>391</v>
      </c>
      <c r="AW106" s="160"/>
      <c r="AX106" s="160"/>
      <c r="AY106" s="160"/>
      <c r="AZ106" s="163">
        <v>340</v>
      </c>
      <c r="BA106" s="168"/>
      <c r="BB106" s="299">
        <f>AZ106*BB57</f>
        <v>907.8</v>
      </c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</row>
    <row r="107" spans="1:81" ht="12.75">
      <c r="A107" s="102"/>
      <c r="B107" s="150"/>
      <c r="C107" s="148"/>
      <c r="D107" s="150"/>
      <c r="E107" s="150"/>
      <c r="F107" s="214" t="s">
        <v>212</v>
      </c>
      <c r="G107" s="150"/>
      <c r="H107" s="151"/>
      <c r="I107" s="155">
        <f>I105+I106</f>
        <v>3175200.00000001</v>
      </c>
      <c r="J107" s="160"/>
      <c r="K107" s="160"/>
      <c r="L107" s="160"/>
      <c r="M107" s="160"/>
      <c r="N107" s="160"/>
      <c r="O107" s="160"/>
      <c r="P107" s="190"/>
      <c r="Q107" s="160"/>
      <c r="R107" s="16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03" t="s">
        <v>155</v>
      </c>
      <c r="AU107" s="148"/>
      <c r="AV107" s="208"/>
      <c r="AW107" s="208"/>
      <c r="AX107" s="148"/>
      <c r="AY107" s="149"/>
      <c r="AZ107" s="164">
        <v>7698</v>
      </c>
      <c r="BA107" s="191"/>
      <c r="BB107" s="299">
        <f>AZ107*BB57</f>
        <v>20553.66</v>
      </c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</row>
    <row r="108" spans="1:81" ht="12.75">
      <c r="A108" s="96" t="s">
        <v>213</v>
      </c>
      <c r="B108" s="102" t="s">
        <v>214</v>
      </c>
      <c r="C108" s="150"/>
      <c r="D108" s="150"/>
      <c r="E108" s="150"/>
      <c r="F108" s="150"/>
      <c r="G108" s="150"/>
      <c r="H108" s="150"/>
      <c r="I108" s="151"/>
      <c r="J108" s="160"/>
      <c r="K108" s="160"/>
      <c r="L108" s="160"/>
      <c r="M108" s="160"/>
      <c r="N108" s="160"/>
      <c r="O108" s="160"/>
      <c r="P108" s="190"/>
      <c r="Q108" s="160"/>
      <c r="R108" s="244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255" t="s">
        <v>171</v>
      </c>
      <c r="AU108" s="146"/>
      <c r="AV108" s="146"/>
      <c r="AW108" s="146"/>
      <c r="AX108" s="146"/>
      <c r="AY108" s="147"/>
      <c r="AZ108" s="300">
        <f>AZ109+AZ110</f>
        <v>136863</v>
      </c>
      <c r="BA108" s="202"/>
      <c r="BB108" s="299">
        <f>AZ108*BB57</f>
        <v>365424.20999999996</v>
      </c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</row>
    <row r="109" spans="1:81" ht="12.75">
      <c r="A109" s="96" t="s">
        <v>215</v>
      </c>
      <c r="B109" s="96" t="s">
        <v>216</v>
      </c>
      <c r="C109" s="197">
        <v>109056126</v>
      </c>
      <c r="D109" s="211">
        <v>3073</v>
      </c>
      <c r="E109" s="211">
        <v>3122.5</v>
      </c>
      <c r="F109" s="155">
        <v>21000</v>
      </c>
      <c r="G109" s="212">
        <f>E109-D109</f>
        <v>49.5</v>
      </c>
      <c r="H109" s="96"/>
      <c r="I109" s="155">
        <f>F109*G109+H109</f>
        <v>1039500</v>
      </c>
      <c r="J109" s="160"/>
      <c r="K109" s="160"/>
      <c r="L109" s="160"/>
      <c r="M109" s="160"/>
      <c r="N109" s="160"/>
      <c r="O109" s="160"/>
      <c r="P109" s="190"/>
      <c r="Q109" s="160"/>
      <c r="R109" s="16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59" t="s">
        <v>93</v>
      </c>
      <c r="AU109" s="160"/>
      <c r="AV109" s="160"/>
      <c r="AW109" s="160"/>
      <c r="AX109" s="160"/>
      <c r="AY109" s="161"/>
      <c r="AZ109" s="163">
        <v>10997</v>
      </c>
      <c r="BA109" s="181"/>
      <c r="BB109" s="299">
        <f>AZ109*BB57</f>
        <v>29361.989999999998</v>
      </c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</row>
    <row r="110" spans="1:81" ht="12.75">
      <c r="A110" s="96" t="s">
        <v>219</v>
      </c>
      <c r="B110" s="102" t="s">
        <v>220</v>
      </c>
      <c r="C110" s="150"/>
      <c r="D110" s="150"/>
      <c r="E110" s="150"/>
      <c r="F110" s="150"/>
      <c r="G110" s="150"/>
      <c r="H110" s="150"/>
      <c r="I110" s="151"/>
      <c r="J110" s="160"/>
      <c r="K110" s="160"/>
      <c r="L110" s="160"/>
      <c r="M110" s="160"/>
      <c r="N110" s="160"/>
      <c r="O110" s="160"/>
      <c r="P110" s="160"/>
      <c r="Q110" s="160"/>
      <c r="R110" s="16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03" t="s">
        <v>94</v>
      </c>
      <c r="AU110" s="148"/>
      <c r="AV110" s="148"/>
      <c r="AW110" s="148"/>
      <c r="AX110" s="148"/>
      <c r="AY110" s="149"/>
      <c r="AZ110" s="164">
        <v>125866</v>
      </c>
      <c r="BA110" s="191"/>
      <c r="BB110" s="299">
        <f>AZ110*BB57</f>
        <v>336062.22</v>
      </c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</row>
    <row r="111" spans="1:81" ht="12.75">
      <c r="A111" s="143" t="s">
        <v>221</v>
      </c>
      <c r="B111" s="143" t="s">
        <v>224</v>
      </c>
      <c r="C111" s="197"/>
      <c r="D111" s="171"/>
      <c r="E111" s="171"/>
      <c r="F111" s="175"/>
      <c r="G111" s="171"/>
      <c r="H111" s="171"/>
      <c r="I111" s="171"/>
      <c r="J111" s="160"/>
      <c r="K111" s="160"/>
      <c r="L111" s="160"/>
      <c r="M111" s="160"/>
      <c r="N111" s="160"/>
      <c r="O111" s="160"/>
      <c r="P111" s="160"/>
      <c r="Q111" s="160"/>
      <c r="R111" s="16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273" t="s">
        <v>392</v>
      </c>
      <c r="AU111" s="150"/>
      <c r="AV111" s="150"/>
      <c r="AW111" s="150"/>
      <c r="AX111" s="150"/>
      <c r="AY111" s="151"/>
      <c r="AZ111" s="235">
        <v>10120</v>
      </c>
      <c r="BA111" s="199"/>
      <c r="BB111" s="299">
        <f>AZ111*BB57</f>
        <v>27020.399999999998</v>
      </c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</row>
    <row r="112" spans="1:81" ht="12.75">
      <c r="A112" s="144"/>
      <c r="B112" s="144" t="s">
        <v>222</v>
      </c>
      <c r="C112" s="198">
        <v>109052170</v>
      </c>
      <c r="D112" s="226">
        <v>7636.7</v>
      </c>
      <c r="E112" s="226">
        <v>7778.6</v>
      </c>
      <c r="F112" s="164">
        <v>1800</v>
      </c>
      <c r="G112" s="227">
        <f aca="true" t="shared" si="7" ref="G112:G132">E112-D112</f>
        <v>141.90000000000055</v>
      </c>
      <c r="H112" s="164"/>
      <c r="I112" s="164">
        <f>F112*G112+H112</f>
        <v>255420.000000001</v>
      </c>
      <c r="J112" s="160"/>
      <c r="K112" s="160"/>
      <c r="L112" s="160"/>
      <c r="M112" s="160"/>
      <c r="N112" s="160"/>
      <c r="O112" s="160"/>
      <c r="P112" s="160"/>
      <c r="Q112" s="160"/>
      <c r="R112" s="16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273" t="s">
        <v>154</v>
      </c>
      <c r="AU112" s="150"/>
      <c r="AV112" s="150"/>
      <c r="AW112" s="150"/>
      <c r="AX112" s="150"/>
      <c r="AY112" s="151"/>
      <c r="AZ112" s="235">
        <v>24144</v>
      </c>
      <c r="BA112" s="199"/>
      <c r="BB112" s="299">
        <f>AZ112*BB57</f>
        <v>64464.479999999996</v>
      </c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</row>
    <row r="113" spans="1:81" ht="12.75">
      <c r="A113" s="143" t="s">
        <v>223</v>
      </c>
      <c r="B113" s="143" t="s">
        <v>235</v>
      </c>
      <c r="C113" s="197">
        <v>623125232</v>
      </c>
      <c r="D113" s="321">
        <v>0.28</v>
      </c>
      <c r="E113" s="234">
        <v>5.6</v>
      </c>
      <c r="F113" s="175">
        <v>1800</v>
      </c>
      <c r="G113" s="322">
        <f t="shared" si="7"/>
        <v>5.319999999999999</v>
      </c>
      <c r="H113" s="171"/>
      <c r="I113" s="175">
        <f>G113*F113</f>
        <v>9575.999999999998</v>
      </c>
      <c r="J113" s="160"/>
      <c r="K113" s="160"/>
      <c r="L113" s="160"/>
      <c r="M113" s="160"/>
      <c r="N113" s="160"/>
      <c r="O113" s="160"/>
      <c r="P113" s="160"/>
      <c r="Q113" s="160"/>
      <c r="R113" s="16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273" t="s">
        <v>362</v>
      </c>
      <c r="AU113" s="150"/>
      <c r="AV113" s="150"/>
      <c r="AW113" s="150"/>
      <c r="AX113" s="150"/>
      <c r="AY113" s="151"/>
      <c r="AZ113" s="235">
        <v>13769</v>
      </c>
      <c r="BA113" s="199"/>
      <c r="BB113" s="299">
        <f>AZ113*BB57</f>
        <v>36763.229999999996</v>
      </c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</row>
    <row r="114" spans="1:81" ht="12.75">
      <c r="A114" s="144"/>
      <c r="B114" s="144" t="s">
        <v>222</v>
      </c>
      <c r="C114" s="169">
        <v>205071</v>
      </c>
      <c r="D114" s="228">
        <v>4075.8</v>
      </c>
      <c r="E114" s="228">
        <v>4099</v>
      </c>
      <c r="F114" s="164">
        <v>1800</v>
      </c>
      <c r="G114" s="227">
        <f t="shared" si="7"/>
        <v>23.199999999999818</v>
      </c>
      <c r="H114" s="169"/>
      <c r="I114" s="164">
        <f>F114*G114+H114</f>
        <v>41759.99999999967</v>
      </c>
      <c r="J114" s="160"/>
      <c r="K114" s="160"/>
      <c r="L114" s="160"/>
      <c r="M114" s="160"/>
      <c r="N114" s="160"/>
      <c r="O114" s="160"/>
      <c r="P114" s="160"/>
      <c r="Q114" s="160"/>
      <c r="R114" s="16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273" t="s">
        <v>297</v>
      </c>
      <c r="AU114" s="150"/>
      <c r="AV114" s="150"/>
      <c r="AW114" s="150"/>
      <c r="AX114" s="150"/>
      <c r="AY114" s="151"/>
      <c r="AZ114" s="235">
        <v>2828</v>
      </c>
      <c r="BA114" s="199"/>
      <c r="BB114" s="299">
        <f>AZ114*BB57</f>
        <v>7550.76</v>
      </c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</row>
    <row r="115" spans="1:81" ht="12.75">
      <c r="A115" s="143" t="s">
        <v>225</v>
      </c>
      <c r="B115" s="143" t="s">
        <v>236</v>
      </c>
      <c r="C115" s="197">
        <v>623125667</v>
      </c>
      <c r="D115" s="234">
        <v>0.2</v>
      </c>
      <c r="E115" s="234">
        <v>5.7</v>
      </c>
      <c r="F115" s="175">
        <v>1800</v>
      </c>
      <c r="G115" s="233">
        <f t="shared" si="7"/>
        <v>5.5</v>
      </c>
      <c r="H115" s="171"/>
      <c r="I115" s="175">
        <f>G115*F115</f>
        <v>9900</v>
      </c>
      <c r="J115" s="160"/>
      <c r="K115" s="160"/>
      <c r="L115" s="160"/>
      <c r="M115" s="160"/>
      <c r="N115" s="160"/>
      <c r="O115" s="160"/>
      <c r="P115" s="160"/>
      <c r="Q115" s="160"/>
      <c r="R115" s="16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273" t="s">
        <v>6</v>
      </c>
      <c r="AU115" s="150"/>
      <c r="AV115" s="150"/>
      <c r="AW115" s="150"/>
      <c r="AX115" s="150"/>
      <c r="AY115" s="151"/>
      <c r="AZ115" s="235">
        <v>21140</v>
      </c>
      <c r="BA115" s="199"/>
      <c r="BB115" s="299">
        <f>AZ115*BB57</f>
        <v>56443.799999999996</v>
      </c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</row>
    <row r="116" spans="1:81" ht="12.75">
      <c r="A116" s="144"/>
      <c r="B116" s="144" t="s">
        <v>222</v>
      </c>
      <c r="C116" s="169">
        <v>205000</v>
      </c>
      <c r="D116" s="228">
        <v>4640.4</v>
      </c>
      <c r="E116" s="228">
        <v>4666.6</v>
      </c>
      <c r="F116" s="164">
        <v>1800</v>
      </c>
      <c r="G116" s="227">
        <f t="shared" si="7"/>
        <v>26.200000000000728</v>
      </c>
      <c r="H116" s="169"/>
      <c r="I116" s="164">
        <f>F116*G116+H116</f>
        <v>47160.00000000131</v>
      </c>
      <c r="J116" s="160"/>
      <c r="K116" s="160"/>
      <c r="L116" s="160"/>
      <c r="M116" s="160"/>
      <c r="N116" s="160"/>
      <c r="O116" s="160"/>
      <c r="P116" s="160"/>
      <c r="Q116" s="160"/>
      <c r="R116" s="16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273" t="s">
        <v>21</v>
      </c>
      <c r="AU116" s="214"/>
      <c r="AV116" s="150"/>
      <c r="AW116" s="150"/>
      <c r="AX116" s="150"/>
      <c r="AY116" s="151"/>
      <c r="AZ116" s="235">
        <v>9303</v>
      </c>
      <c r="BA116" s="199"/>
      <c r="BB116" s="299">
        <f>AZ116*BB57</f>
        <v>24839.01</v>
      </c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</row>
    <row r="117" spans="1:81" ht="12.75">
      <c r="A117" s="143" t="s">
        <v>226</v>
      </c>
      <c r="B117" s="143" t="s">
        <v>237</v>
      </c>
      <c r="C117" s="197">
        <v>623126370</v>
      </c>
      <c r="D117" s="321">
        <v>0.14</v>
      </c>
      <c r="E117" s="234">
        <v>1.8</v>
      </c>
      <c r="F117" s="175">
        <v>4800</v>
      </c>
      <c r="G117" s="322">
        <f t="shared" si="7"/>
        <v>1.6600000000000001</v>
      </c>
      <c r="H117" s="171"/>
      <c r="I117" s="175">
        <f>G117*F117</f>
        <v>7968.000000000001</v>
      </c>
      <c r="J117" s="160"/>
      <c r="K117" s="160"/>
      <c r="L117" s="160"/>
      <c r="M117" s="160"/>
      <c r="N117" s="160"/>
      <c r="O117" s="160"/>
      <c r="P117" s="160"/>
      <c r="Q117" s="160"/>
      <c r="R117" s="16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273" t="s">
        <v>388</v>
      </c>
      <c r="AU117" s="214"/>
      <c r="AV117" s="150"/>
      <c r="AW117" s="150"/>
      <c r="AX117" s="150"/>
      <c r="AY117" s="151"/>
      <c r="AZ117" s="235">
        <v>100</v>
      </c>
      <c r="BA117" s="199"/>
      <c r="BB117" s="299">
        <f>AZ117*BB57</f>
        <v>267</v>
      </c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</row>
    <row r="118" spans="1:81" ht="12.75">
      <c r="A118" s="144"/>
      <c r="B118" s="144" t="s">
        <v>222</v>
      </c>
      <c r="C118" s="169">
        <v>205063</v>
      </c>
      <c r="D118" s="228">
        <v>1714.1</v>
      </c>
      <c r="E118" s="228">
        <v>1716.3</v>
      </c>
      <c r="F118" s="164">
        <v>4800</v>
      </c>
      <c r="G118" s="227">
        <f t="shared" si="7"/>
        <v>2.2000000000000455</v>
      </c>
      <c r="H118" s="169"/>
      <c r="I118" s="164">
        <f>F118*G118+H118</f>
        <v>10560.000000000218</v>
      </c>
      <c r="J118" s="160"/>
      <c r="K118" s="160"/>
      <c r="L118" s="160"/>
      <c r="M118" s="160"/>
      <c r="N118" s="160"/>
      <c r="O118" s="160"/>
      <c r="P118" s="160"/>
      <c r="Q118" s="160"/>
      <c r="R118" s="16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273" t="s">
        <v>365</v>
      </c>
      <c r="AU118" s="214"/>
      <c r="AV118" s="150"/>
      <c r="AW118" s="150"/>
      <c r="AX118" s="150"/>
      <c r="AY118" s="151"/>
      <c r="AZ118" s="235">
        <v>45040</v>
      </c>
      <c r="BA118" s="199"/>
      <c r="BB118" s="299">
        <f>AZ118*BB57</f>
        <v>120256.8</v>
      </c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</row>
    <row r="119" spans="1:81" ht="12.75">
      <c r="A119" s="143" t="s">
        <v>227</v>
      </c>
      <c r="B119" s="143" t="s">
        <v>238</v>
      </c>
      <c r="C119" s="197">
        <v>623125137</v>
      </c>
      <c r="D119" s="321">
        <v>0.11</v>
      </c>
      <c r="E119" s="234">
        <v>3.5</v>
      </c>
      <c r="F119" s="175">
        <v>4800</v>
      </c>
      <c r="G119" s="322">
        <f t="shared" si="7"/>
        <v>3.39</v>
      </c>
      <c r="H119" s="171"/>
      <c r="I119" s="175">
        <f>G119*F119</f>
        <v>16272</v>
      </c>
      <c r="J119" s="160"/>
      <c r="K119" s="160"/>
      <c r="L119" s="160"/>
      <c r="M119" s="160"/>
      <c r="N119" s="160"/>
      <c r="O119" s="160"/>
      <c r="P119" s="160"/>
      <c r="Q119" s="160"/>
      <c r="R119" s="16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273"/>
      <c r="AU119" s="214"/>
      <c r="AV119" s="150"/>
      <c r="AW119" s="150"/>
      <c r="AX119" s="150"/>
      <c r="AY119" s="151"/>
      <c r="AZ119" s="235"/>
      <c r="BA119" s="199"/>
      <c r="BB119" s="299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</row>
    <row r="120" spans="1:81" ht="12.75">
      <c r="A120" s="144"/>
      <c r="B120" s="144" t="s">
        <v>222</v>
      </c>
      <c r="C120" s="169">
        <v>205065</v>
      </c>
      <c r="D120" s="228">
        <v>1231.5</v>
      </c>
      <c r="E120" s="228">
        <v>1238.5</v>
      </c>
      <c r="F120" s="164">
        <v>4800</v>
      </c>
      <c r="G120" s="227">
        <f t="shared" si="7"/>
        <v>7</v>
      </c>
      <c r="H120" s="169"/>
      <c r="I120" s="164">
        <f>F120*G120+H120</f>
        <v>33600</v>
      </c>
      <c r="J120" s="160"/>
      <c r="K120" s="160"/>
      <c r="L120" s="160"/>
      <c r="M120" s="160"/>
      <c r="N120" s="160"/>
      <c r="O120" s="160"/>
      <c r="P120" s="160"/>
      <c r="Q120" s="160"/>
      <c r="R120" s="16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02"/>
      <c r="AU120" s="150"/>
      <c r="AV120" s="150"/>
      <c r="AW120" s="150"/>
      <c r="AX120" s="150"/>
      <c r="AY120" s="151"/>
      <c r="AZ120" s="235"/>
      <c r="BA120" s="199"/>
      <c r="BB120" s="299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</row>
    <row r="121" spans="1:81" ht="12.75">
      <c r="A121" s="143" t="s">
        <v>228</v>
      </c>
      <c r="B121" s="143" t="s">
        <v>239</v>
      </c>
      <c r="C121" s="197">
        <v>623125142</v>
      </c>
      <c r="D121" s="321">
        <v>0.23</v>
      </c>
      <c r="E121" s="234">
        <v>6.5</v>
      </c>
      <c r="F121" s="175">
        <v>2400</v>
      </c>
      <c r="G121" s="322">
        <f t="shared" si="7"/>
        <v>6.27</v>
      </c>
      <c r="H121" s="171"/>
      <c r="I121" s="175">
        <f>G121*F121</f>
        <v>15047.999999999998</v>
      </c>
      <c r="J121" s="160"/>
      <c r="K121" s="160"/>
      <c r="L121" s="160"/>
      <c r="M121" s="160"/>
      <c r="N121" s="160"/>
      <c r="O121" s="160"/>
      <c r="P121" s="160"/>
      <c r="Q121" s="160"/>
      <c r="R121" s="16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02"/>
      <c r="AU121" s="150"/>
      <c r="AV121" s="150"/>
      <c r="AW121" s="150"/>
      <c r="AX121" s="150"/>
      <c r="AY121" s="151"/>
      <c r="AZ121" s="235"/>
      <c r="BA121" s="199"/>
      <c r="BB121" s="299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</row>
    <row r="122" spans="1:81" ht="12.75">
      <c r="A122" s="144"/>
      <c r="B122" s="144" t="s">
        <v>222</v>
      </c>
      <c r="C122" s="169">
        <v>204946</v>
      </c>
      <c r="D122" s="228">
        <v>491.5</v>
      </c>
      <c r="E122" s="228">
        <v>510.6</v>
      </c>
      <c r="F122" s="164">
        <v>2400</v>
      </c>
      <c r="G122" s="227">
        <f t="shared" si="7"/>
        <v>19.100000000000023</v>
      </c>
      <c r="H122" s="169"/>
      <c r="I122" s="164">
        <f>F122*G122+H122</f>
        <v>45840.00000000006</v>
      </c>
      <c r="J122" s="160"/>
      <c r="K122" s="160"/>
      <c r="L122" s="160"/>
      <c r="M122" s="160"/>
      <c r="N122" s="160"/>
      <c r="O122" s="160"/>
      <c r="P122" s="160"/>
      <c r="Q122" s="160"/>
      <c r="R122" s="16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02"/>
      <c r="AU122" s="150"/>
      <c r="AV122" s="150"/>
      <c r="AW122" s="150"/>
      <c r="AX122" s="150"/>
      <c r="AY122" s="151"/>
      <c r="AZ122" s="235"/>
      <c r="BA122" s="199"/>
      <c r="BB122" s="299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</row>
    <row r="123" spans="1:81" ht="12.75">
      <c r="A123" s="143" t="s">
        <v>229</v>
      </c>
      <c r="B123" s="143" t="s">
        <v>240</v>
      </c>
      <c r="C123" s="197">
        <v>623125205</v>
      </c>
      <c r="D123" s="321">
        <v>0.16</v>
      </c>
      <c r="E123" s="234">
        <v>3.5</v>
      </c>
      <c r="F123" s="175">
        <v>1800</v>
      </c>
      <c r="G123" s="322">
        <f t="shared" si="7"/>
        <v>3.34</v>
      </c>
      <c r="H123" s="171"/>
      <c r="I123" s="175">
        <f>G123*F123</f>
        <v>6012</v>
      </c>
      <c r="J123" s="160"/>
      <c r="K123" s="160"/>
      <c r="L123" s="160"/>
      <c r="M123" s="160"/>
      <c r="N123" s="160"/>
      <c r="O123" s="160"/>
      <c r="P123" s="160"/>
      <c r="Q123" s="160"/>
      <c r="R123" s="16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02"/>
      <c r="AU123" s="150"/>
      <c r="AV123" s="150"/>
      <c r="AW123" s="150"/>
      <c r="AX123" s="150"/>
      <c r="AY123" s="151"/>
      <c r="AZ123" s="235"/>
      <c r="BA123" s="199"/>
      <c r="BB123" s="299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</row>
    <row r="124" spans="1:81" ht="12.75">
      <c r="A124" s="144"/>
      <c r="B124" s="144" t="s">
        <v>222</v>
      </c>
      <c r="C124" s="169">
        <v>204938</v>
      </c>
      <c r="D124" s="228">
        <v>1237.2</v>
      </c>
      <c r="E124" s="228">
        <v>1258.7</v>
      </c>
      <c r="F124" s="164">
        <v>1800</v>
      </c>
      <c r="G124" s="227">
        <f t="shared" si="7"/>
        <v>21.5</v>
      </c>
      <c r="H124" s="169"/>
      <c r="I124" s="164">
        <f>F124*G124+H124</f>
        <v>38700</v>
      </c>
      <c r="J124" s="160"/>
      <c r="K124" s="160"/>
      <c r="L124" s="160"/>
      <c r="M124" s="160"/>
      <c r="N124" s="160"/>
      <c r="O124" s="160"/>
      <c r="P124" s="160"/>
      <c r="Q124" s="160"/>
      <c r="R124" s="16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02"/>
      <c r="AU124" s="150"/>
      <c r="AV124" s="150"/>
      <c r="AW124" s="150"/>
      <c r="AX124" s="150"/>
      <c r="AY124" s="151"/>
      <c r="AZ124" s="235"/>
      <c r="BA124" s="199"/>
      <c r="BB124" s="299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</row>
    <row r="125" spans="1:81" ht="12.75">
      <c r="A125" s="143" t="s">
        <v>230</v>
      </c>
      <c r="B125" s="143" t="s">
        <v>241</v>
      </c>
      <c r="C125" s="197">
        <v>623123704</v>
      </c>
      <c r="D125" s="321">
        <v>0.26</v>
      </c>
      <c r="E125" s="234">
        <v>0.7</v>
      </c>
      <c r="F125" s="175">
        <v>1800</v>
      </c>
      <c r="G125" s="322">
        <f t="shared" si="7"/>
        <v>0.43999999999999995</v>
      </c>
      <c r="H125" s="171"/>
      <c r="I125" s="175">
        <f>G125*F125</f>
        <v>791.9999999999999</v>
      </c>
      <c r="J125" s="160"/>
      <c r="K125" s="160"/>
      <c r="L125" s="160"/>
      <c r="M125" s="160"/>
      <c r="N125" s="160"/>
      <c r="O125" s="160"/>
      <c r="P125" s="160"/>
      <c r="Q125" s="160"/>
      <c r="R125" s="16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02"/>
      <c r="AU125" s="150"/>
      <c r="AV125" s="219"/>
      <c r="AW125" s="219"/>
      <c r="AX125" s="150"/>
      <c r="AY125" s="151"/>
      <c r="AZ125" s="235"/>
      <c r="BA125" s="199"/>
      <c r="BB125" s="299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</row>
    <row r="126" spans="1:81" ht="12.75">
      <c r="A126" s="144"/>
      <c r="B126" s="144" t="s">
        <v>222</v>
      </c>
      <c r="C126" s="169">
        <v>204959</v>
      </c>
      <c r="D126" s="228">
        <v>3006.4</v>
      </c>
      <c r="E126" s="228">
        <v>3007.4</v>
      </c>
      <c r="F126" s="164">
        <v>1800</v>
      </c>
      <c r="G126" s="227">
        <f t="shared" si="7"/>
        <v>1</v>
      </c>
      <c r="H126" s="169"/>
      <c r="I126" s="164">
        <f>F126*G126+H126</f>
        <v>1800</v>
      </c>
      <c r="J126" s="160"/>
      <c r="K126" s="160"/>
      <c r="L126" s="160"/>
      <c r="M126" s="160"/>
      <c r="N126" s="160"/>
      <c r="O126" s="160"/>
      <c r="P126" s="160"/>
      <c r="Q126" s="160"/>
      <c r="R126" s="16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60"/>
      <c r="AU126" s="120"/>
      <c r="AV126" s="120"/>
      <c r="AW126" s="120"/>
      <c r="AX126" s="120"/>
      <c r="AY126" s="120"/>
      <c r="AZ126" s="274"/>
      <c r="BA126" s="120"/>
      <c r="BB126" s="120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</row>
    <row r="127" spans="1:81" ht="12.75">
      <c r="A127" s="143" t="s">
        <v>231</v>
      </c>
      <c r="B127" s="143" t="s">
        <v>242</v>
      </c>
      <c r="C127" s="197">
        <v>623125794</v>
      </c>
      <c r="D127" s="321">
        <v>0.25</v>
      </c>
      <c r="E127" s="234">
        <v>0.3</v>
      </c>
      <c r="F127" s="175">
        <v>1800</v>
      </c>
      <c r="G127" s="322">
        <f t="shared" si="7"/>
        <v>0.04999999999999999</v>
      </c>
      <c r="H127" s="171"/>
      <c r="I127" s="175">
        <f>G127*F127</f>
        <v>89.99999999999999</v>
      </c>
      <c r="J127" s="160"/>
      <c r="K127" s="160"/>
      <c r="L127" s="160"/>
      <c r="M127" s="160"/>
      <c r="N127" s="160"/>
      <c r="O127" s="160"/>
      <c r="P127" s="160"/>
      <c r="Q127" s="160"/>
      <c r="R127" s="16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60"/>
      <c r="AU127" s="120"/>
      <c r="AV127" s="120"/>
      <c r="AW127" s="120"/>
      <c r="AX127" s="120"/>
      <c r="AY127" s="120"/>
      <c r="AZ127" s="274"/>
      <c r="BA127" s="120"/>
      <c r="BB127" s="120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</row>
    <row r="128" spans="1:81" ht="12.75">
      <c r="A128" s="144"/>
      <c r="B128" s="144" t="s">
        <v>222</v>
      </c>
      <c r="C128" s="169">
        <v>205066</v>
      </c>
      <c r="D128" s="228">
        <v>715.7</v>
      </c>
      <c r="E128" s="228">
        <v>716</v>
      </c>
      <c r="F128" s="164">
        <v>1800</v>
      </c>
      <c r="G128" s="227">
        <f t="shared" si="7"/>
        <v>0.2999999999999545</v>
      </c>
      <c r="H128" s="169"/>
      <c r="I128" s="164">
        <f>F128*G128+H128</f>
        <v>539.9999999999181</v>
      </c>
      <c r="J128" s="160"/>
      <c r="K128" s="160"/>
      <c r="L128" s="160"/>
      <c r="M128" s="160"/>
      <c r="N128" s="160"/>
      <c r="O128" s="160"/>
      <c r="P128" s="160"/>
      <c r="Q128" s="160"/>
      <c r="R128" s="16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60"/>
      <c r="AU128" s="120"/>
      <c r="AV128" s="120"/>
      <c r="AW128" s="120"/>
      <c r="AX128" s="120"/>
      <c r="AY128" s="120"/>
      <c r="AZ128" s="274"/>
      <c r="BA128" s="120"/>
      <c r="BB128" s="120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</row>
    <row r="129" spans="1:81" ht="12.75">
      <c r="A129" s="143" t="s">
        <v>232</v>
      </c>
      <c r="B129" s="143" t="s">
        <v>243</v>
      </c>
      <c r="C129" s="197">
        <v>623125736</v>
      </c>
      <c r="D129" s="321">
        <v>0.58</v>
      </c>
      <c r="E129" s="234">
        <v>0.6</v>
      </c>
      <c r="F129" s="175">
        <v>1800</v>
      </c>
      <c r="G129" s="322">
        <f t="shared" si="7"/>
        <v>0.020000000000000018</v>
      </c>
      <c r="H129" s="171"/>
      <c r="I129" s="175">
        <f>G129*F129</f>
        <v>36.00000000000003</v>
      </c>
      <c r="J129" s="160"/>
      <c r="K129" s="160"/>
      <c r="L129" s="160"/>
      <c r="M129" s="160"/>
      <c r="N129" s="160"/>
      <c r="O129" s="160"/>
      <c r="P129" s="160"/>
      <c r="Q129" s="160"/>
      <c r="R129" s="16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60"/>
      <c r="AU129" s="120"/>
      <c r="AV129" s="120"/>
      <c r="AW129" s="120"/>
      <c r="AX129" s="120"/>
      <c r="AY129" s="120"/>
      <c r="AZ129" s="274"/>
      <c r="BA129" s="120"/>
      <c r="BB129" s="120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</row>
    <row r="130" spans="1:81" ht="12.75">
      <c r="A130" s="144"/>
      <c r="B130" s="144" t="s">
        <v>222</v>
      </c>
      <c r="C130" s="169">
        <v>205074</v>
      </c>
      <c r="D130" s="228">
        <v>192.5</v>
      </c>
      <c r="E130" s="228">
        <v>194.8</v>
      </c>
      <c r="F130" s="164">
        <v>1800</v>
      </c>
      <c r="G130" s="227">
        <f t="shared" si="7"/>
        <v>2.3000000000000114</v>
      </c>
      <c r="H130" s="169"/>
      <c r="I130" s="164">
        <f>F130*G130+H130</f>
        <v>4140.00000000002</v>
      </c>
      <c r="J130" s="160"/>
      <c r="K130" s="160"/>
      <c r="L130" s="160"/>
      <c r="M130" s="160"/>
      <c r="N130" s="160"/>
      <c r="O130" s="160"/>
      <c r="P130" s="160"/>
      <c r="Q130" s="160"/>
      <c r="R130" s="16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60"/>
      <c r="AU130" s="120" t="s">
        <v>9</v>
      </c>
      <c r="AV130" s="120"/>
      <c r="AW130" s="120"/>
      <c r="AX130" s="120"/>
      <c r="AY130" s="120"/>
      <c r="AZ130" s="301">
        <f>AZ8</f>
        <v>4915260.800000036</v>
      </c>
      <c r="BA130" s="120"/>
      <c r="BB130" s="275">
        <f>SUM(BB92:BB95)+BB102+BB107+BB110+BB111+SUM(BB115:BB125)</f>
        <v>13006159.536000097</v>
      </c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</row>
    <row r="131" spans="1:81" ht="12.75">
      <c r="A131" s="143" t="s">
        <v>233</v>
      </c>
      <c r="B131" s="143" t="s">
        <v>234</v>
      </c>
      <c r="C131" s="197">
        <v>611126342</v>
      </c>
      <c r="D131" s="321">
        <v>0.16</v>
      </c>
      <c r="E131" s="234">
        <v>0.2</v>
      </c>
      <c r="F131" s="175">
        <v>40</v>
      </c>
      <c r="G131" s="322">
        <f t="shared" si="7"/>
        <v>0.04000000000000001</v>
      </c>
      <c r="H131" s="171"/>
      <c r="I131" s="175">
        <f>G131*F131</f>
        <v>1.6000000000000003</v>
      </c>
      <c r="J131" s="160"/>
      <c r="K131" s="160"/>
      <c r="L131" s="160"/>
      <c r="M131" s="160"/>
      <c r="N131" s="160"/>
      <c r="O131" s="160"/>
      <c r="P131" s="160"/>
      <c r="Q131" s="160"/>
      <c r="R131" s="16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60"/>
      <c r="AU131" s="120"/>
      <c r="AV131" s="120"/>
      <c r="AW131" s="120"/>
      <c r="AX131" s="120"/>
      <c r="AY131" s="120"/>
      <c r="AZ131" s="274"/>
      <c r="BA131" s="120"/>
      <c r="BB131" s="120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</row>
    <row r="132" spans="1:81" ht="12.75">
      <c r="A132" s="144"/>
      <c r="B132" s="144" t="s">
        <v>222</v>
      </c>
      <c r="C132" s="169">
        <v>205074</v>
      </c>
      <c r="D132" s="228"/>
      <c r="E132" s="228"/>
      <c r="F132" s="164">
        <v>40</v>
      </c>
      <c r="G132" s="229">
        <f t="shared" si="7"/>
        <v>0</v>
      </c>
      <c r="H132" s="169"/>
      <c r="I132" s="164">
        <f>F132*G132+H132</f>
        <v>0</v>
      </c>
      <c r="J132" s="160"/>
      <c r="K132" s="160"/>
      <c r="L132" s="160"/>
      <c r="M132" s="160"/>
      <c r="N132" s="160"/>
      <c r="O132" s="160"/>
      <c r="P132" s="160"/>
      <c r="Q132" s="160"/>
      <c r="R132" s="16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60"/>
      <c r="AU132" s="120"/>
      <c r="AV132" s="120"/>
      <c r="AW132" s="120"/>
      <c r="AX132" s="120"/>
      <c r="AY132" s="120"/>
      <c r="AZ132" s="120"/>
      <c r="BA132" s="120"/>
      <c r="BB132" s="120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</row>
    <row r="133" spans="1:81" ht="12.75">
      <c r="A133" s="201"/>
      <c r="B133" s="150"/>
      <c r="C133" s="199"/>
      <c r="D133" s="199"/>
      <c r="E133" s="200"/>
      <c r="F133" s="200"/>
      <c r="G133" s="215" t="s">
        <v>244</v>
      </c>
      <c r="H133" s="151"/>
      <c r="I133" s="235">
        <f>SUM(I109:I132)</f>
        <v>1584715.6000000024</v>
      </c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60" t="s">
        <v>482</v>
      </c>
      <c r="AU133" s="120"/>
      <c r="AV133" s="120"/>
      <c r="AW133" s="120"/>
      <c r="AX133" s="120"/>
      <c r="AY133" s="120"/>
      <c r="AZ133" s="120"/>
      <c r="BA133" s="120"/>
      <c r="BB133" s="120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</row>
    <row r="134" spans="1:81" ht="12.75">
      <c r="A134" s="143" t="s">
        <v>247</v>
      </c>
      <c r="B134" s="145" t="s">
        <v>245</v>
      </c>
      <c r="C134" s="202"/>
      <c r="D134" s="202"/>
      <c r="E134" s="203"/>
      <c r="F134" s="203"/>
      <c r="G134" s="204"/>
      <c r="H134" s="146"/>
      <c r="I134" s="205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60"/>
      <c r="AU134" s="120"/>
      <c r="AV134" s="120"/>
      <c r="AW134" s="120"/>
      <c r="AX134" s="120"/>
      <c r="AY134" s="120"/>
      <c r="AZ134" s="120"/>
      <c r="BA134" s="120"/>
      <c r="BB134" s="120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</row>
    <row r="135" spans="1:81" ht="12.75">
      <c r="A135" s="173"/>
      <c r="B135" s="159" t="s">
        <v>246</v>
      </c>
      <c r="C135" s="206"/>
      <c r="D135" s="191"/>
      <c r="E135" s="207"/>
      <c r="F135" s="207"/>
      <c r="G135" s="208"/>
      <c r="H135" s="148"/>
      <c r="I135" s="209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60" t="s">
        <v>143</v>
      </c>
      <c r="AU135" s="120"/>
      <c r="AV135" s="120"/>
      <c r="AW135" s="120"/>
      <c r="AX135" s="120"/>
      <c r="AY135" s="120"/>
      <c r="AZ135" s="120"/>
      <c r="BA135" s="120"/>
      <c r="BB135" s="120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</row>
    <row r="136" spans="1:81" ht="12.75">
      <c r="A136" s="145" t="s">
        <v>248</v>
      </c>
      <c r="B136" s="143" t="s">
        <v>257</v>
      </c>
      <c r="C136" s="304">
        <v>7584756</v>
      </c>
      <c r="D136" s="211">
        <v>942.5</v>
      </c>
      <c r="E136" s="211">
        <v>942.6</v>
      </c>
      <c r="F136" s="155">
        <v>40</v>
      </c>
      <c r="G136" s="212">
        <f aca="true" t="shared" si="8" ref="G136:G159">E136-D136</f>
        <v>0.10000000000002274</v>
      </c>
      <c r="H136" s="152"/>
      <c r="I136" s="155">
        <f aca="true" t="shared" si="9" ref="I136:I144">ROUND(F136*G136+H136,0)</f>
        <v>4</v>
      </c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60"/>
      <c r="AU136" s="120"/>
      <c r="AV136" s="120"/>
      <c r="AW136" s="120"/>
      <c r="AX136" s="120"/>
      <c r="AY136" s="120"/>
      <c r="AZ136" s="120"/>
      <c r="BA136" s="120"/>
      <c r="BB136" s="120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</row>
    <row r="137" spans="1:81" ht="12.75">
      <c r="A137" s="159"/>
      <c r="B137" s="173" t="s">
        <v>256</v>
      </c>
      <c r="C137" s="304">
        <v>7584756</v>
      </c>
      <c r="D137" s="211">
        <v>292.4</v>
      </c>
      <c r="E137" s="211">
        <v>292.5</v>
      </c>
      <c r="F137" s="155">
        <v>40</v>
      </c>
      <c r="G137" s="212">
        <f t="shared" si="8"/>
        <v>0.10000000000002274</v>
      </c>
      <c r="H137" s="152"/>
      <c r="I137" s="155">
        <f t="shared" si="9"/>
        <v>4</v>
      </c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60"/>
      <c r="AU137" s="120"/>
      <c r="AV137" s="120"/>
      <c r="AW137" s="120"/>
      <c r="AX137" s="120"/>
      <c r="AY137" s="120"/>
      <c r="AZ137" s="120"/>
      <c r="BA137" s="120"/>
      <c r="BB137" s="120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</row>
    <row r="138" spans="1:81" ht="12.75">
      <c r="A138" s="159"/>
      <c r="B138" s="144" t="s">
        <v>467</v>
      </c>
      <c r="C138" s="305">
        <v>611127627</v>
      </c>
      <c r="D138" s="306">
        <v>0.3</v>
      </c>
      <c r="E138" s="306">
        <v>0.4</v>
      </c>
      <c r="F138" s="155">
        <v>40</v>
      </c>
      <c r="G138" s="212">
        <f t="shared" si="8"/>
        <v>0.10000000000000003</v>
      </c>
      <c r="H138" s="155"/>
      <c r="I138" s="155">
        <f t="shared" si="9"/>
        <v>4</v>
      </c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</row>
    <row r="139" spans="1:81" ht="12.75">
      <c r="A139" s="143" t="s">
        <v>251</v>
      </c>
      <c r="B139" s="161" t="s">
        <v>254</v>
      </c>
      <c r="C139" s="213">
        <v>810120245</v>
      </c>
      <c r="D139" s="302">
        <v>156.9624</v>
      </c>
      <c r="E139" s="302">
        <v>170.5797</v>
      </c>
      <c r="F139" s="155">
        <v>3600</v>
      </c>
      <c r="G139" s="252">
        <f t="shared" si="8"/>
        <v>13.6173</v>
      </c>
      <c r="H139" s="155"/>
      <c r="I139" s="155">
        <f t="shared" si="9"/>
        <v>49022</v>
      </c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</row>
    <row r="140" spans="1:81" ht="12.75">
      <c r="A140" s="173"/>
      <c r="B140" s="161" t="s">
        <v>255</v>
      </c>
      <c r="C140" s="213">
        <v>810120245</v>
      </c>
      <c r="D140" s="302">
        <v>92.245</v>
      </c>
      <c r="E140" s="302">
        <v>100.6743</v>
      </c>
      <c r="F140" s="155">
        <v>3600</v>
      </c>
      <c r="G140" s="252">
        <f t="shared" si="8"/>
        <v>8.429299999999998</v>
      </c>
      <c r="H140" s="96"/>
      <c r="I140" s="155">
        <f t="shared" si="9"/>
        <v>30345</v>
      </c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</row>
    <row r="141" spans="1:81" ht="12.75">
      <c r="A141" s="173"/>
      <c r="B141" s="161" t="s">
        <v>254</v>
      </c>
      <c r="C141" s="210">
        <v>4050284</v>
      </c>
      <c r="D141" s="230">
        <v>1808.6987</v>
      </c>
      <c r="E141" s="230">
        <v>1808.7369</v>
      </c>
      <c r="F141" s="155">
        <v>3600</v>
      </c>
      <c r="G141" s="253">
        <f t="shared" si="8"/>
        <v>0.038200000000188084</v>
      </c>
      <c r="H141" s="96"/>
      <c r="I141" s="155">
        <f t="shared" si="9"/>
        <v>138</v>
      </c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</row>
    <row r="142" spans="1:81" ht="12.75">
      <c r="A142" s="144"/>
      <c r="B142" s="149" t="s">
        <v>256</v>
      </c>
      <c r="C142" s="210">
        <v>4050284</v>
      </c>
      <c r="D142" s="230">
        <v>1898.5613</v>
      </c>
      <c r="E142" s="230">
        <v>1898.5613</v>
      </c>
      <c r="F142" s="155">
        <v>3600</v>
      </c>
      <c r="G142" s="253">
        <f t="shared" si="8"/>
        <v>0</v>
      </c>
      <c r="H142" s="96"/>
      <c r="I142" s="155">
        <f t="shared" si="9"/>
        <v>0</v>
      </c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</row>
    <row r="143" spans="1:81" ht="12.75">
      <c r="A143" s="173" t="s">
        <v>252</v>
      </c>
      <c r="B143" s="143" t="s">
        <v>218</v>
      </c>
      <c r="C143" s="152">
        <v>8061200350</v>
      </c>
      <c r="D143" s="211"/>
      <c r="E143" s="211"/>
      <c r="F143" s="155">
        <v>20</v>
      </c>
      <c r="G143" s="212">
        <f t="shared" si="8"/>
        <v>0</v>
      </c>
      <c r="H143" s="96"/>
      <c r="I143" s="155">
        <f t="shared" si="9"/>
        <v>0</v>
      </c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</row>
    <row r="144" spans="1:81" ht="12.75">
      <c r="A144" s="307"/>
      <c r="B144" s="173" t="s">
        <v>217</v>
      </c>
      <c r="C144" s="305">
        <v>611127492</v>
      </c>
      <c r="D144" s="306">
        <v>0.1</v>
      </c>
      <c r="E144" s="306">
        <v>1</v>
      </c>
      <c r="F144" s="155">
        <v>20</v>
      </c>
      <c r="G144" s="212">
        <f t="shared" si="8"/>
        <v>0.9</v>
      </c>
      <c r="H144" s="155"/>
      <c r="I144" s="155">
        <f t="shared" si="9"/>
        <v>18</v>
      </c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</row>
    <row r="145" spans="1:81" ht="12.75">
      <c r="A145" s="145" t="s">
        <v>253</v>
      </c>
      <c r="B145" s="143" t="s">
        <v>259</v>
      </c>
      <c r="C145" s="309">
        <v>70851523</v>
      </c>
      <c r="D145" s="211"/>
      <c r="E145" s="211"/>
      <c r="F145" s="155">
        <v>60</v>
      </c>
      <c r="G145" s="212">
        <f t="shared" si="8"/>
        <v>0</v>
      </c>
      <c r="H145" s="96"/>
      <c r="I145" s="155">
        <f aca="true" t="shared" si="10" ref="I145:I158">ROUND(F145*G145+H145,0)</f>
        <v>0</v>
      </c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</row>
    <row r="146" spans="1:81" ht="12.75">
      <c r="A146" s="308"/>
      <c r="B146" s="173" t="s">
        <v>256</v>
      </c>
      <c r="C146" s="309">
        <v>70851523</v>
      </c>
      <c r="D146" s="211"/>
      <c r="E146" s="211"/>
      <c r="F146" s="155">
        <v>60</v>
      </c>
      <c r="G146" s="212">
        <f t="shared" si="8"/>
        <v>0</v>
      </c>
      <c r="H146" s="96"/>
      <c r="I146" s="155">
        <f t="shared" si="10"/>
        <v>0</v>
      </c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</row>
    <row r="147" spans="1:81" ht="12.75">
      <c r="A147" s="159"/>
      <c r="B147" s="173"/>
      <c r="C147" s="305">
        <v>611127702</v>
      </c>
      <c r="D147" s="306">
        <v>0.4</v>
      </c>
      <c r="E147" s="306">
        <v>0.5</v>
      </c>
      <c r="F147" s="155">
        <v>60</v>
      </c>
      <c r="G147" s="212">
        <f t="shared" si="8"/>
        <v>0.09999999999999998</v>
      </c>
      <c r="H147" s="96"/>
      <c r="I147" s="155">
        <f t="shared" si="10"/>
        <v>6</v>
      </c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</row>
    <row r="148" spans="1:81" ht="12.75">
      <c r="A148" s="145" t="s">
        <v>258</v>
      </c>
      <c r="B148" s="143" t="s">
        <v>262</v>
      </c>
      <c r="C148" s="310">
        <v>91920</v>
      </c>
      <c r="D148" s="232"/>
      <c r="E148" s="232"/>
      <c r="F148" s="155">
        <v>60</v>
      </c>
      <c r="G148" s="212">
        <f t="shared" si="8"/>
        <v>0</v>
      </c>
      <c r="H148" s="96"/>
      <c r="I148" s="155">
        <f t="shared" si="10"/>
        <v>0</v>
      </c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</row>
    <row r="149" spans="1:81" ht="12.75">
      <c r="A149" s="308"/>
      <c r="B149" s="173" t="s">
        <v>256</v>
      </c>
      <c r="C149" s="310">
        <v>91920</v>
      </c>
      <c r="D149" s="232"/>
      <c r="E149" s="232"/>
      <c r="F149" s="155">
        <v>60</v>
      </c>
      <c r="G149" s="212">
        <f t="shared" si="8"/>
        <v>0</v>
      </c>
      <c r="H149" s="96"/>
      <c r="I149" s="155">
        <f t="shared" si="10"/>
        <v>0</v>
      </c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</row>
    <row r="150" spans="1:81" ht="12.75">
      <c r="A150" s="159"/>
      <c r="B150" s="173"/>
      <c r="C150" s="305">
        <v>622126192</v>
      </c>
      <c r="D150" s="211">
        <v>3.1</v>
      </c>
      <c r="E150" s="211">
        <v>7</v>
      </c>
      <c r="F150" s="155">
        <v>60</v>
      </c>
      <c r="G150" s="212">
        <f t="shared" si="8"/>
        <v>3.9</v>
      </c>
      <c r="H150" s="96"/>
      <c r="I150" s="155">
        <f t="shared" si="10"/>
        <v>234</v>
      </c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</row>
    <row r="151" spans="1:81" ht="12.75">
      <c r="A151" s="145" t="s">
        <v>260</v>
      </c>
      <c r="B151" s="143" t="s">
        <v>263</v>
      </c>
      <c r="C151" s="311">
        <v>867680800227776</v>
      </c>
      <c r="D151" s="232"/>
      <c r="E151" s="232"/>
      <c r="F151" s="155">
        <v>40</v>
      </c>
      <c r="G151" s="212">
        <f t="shared" si="8"/>
        <v>0</v>
      </c>
      <c r="H151" s="96"/>
      <c r="I151" s="155">
        <f t="shared" si="10"/>
        <v>0</v>
      </c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</row>
    <row r="152" spans="1:81" ht="12.75">
      <c r="A152" s="159"/>
      <c r="B152" s="173" t="s">
        <v>256</v>
      </c>
      <c r="C152" s="311">
        <v>867680800227776</v>
      </c>
      <c r="D152" s="232"/>
      <c r="E152" s="232"/>
      <c r="F152" s="155">
        <v>40</v>
      </c>
      <c r="G152" s="212">
        <f t="shared" si="8"/>
        <v>0</v>
      </c>
      <c r="H152" s="96"/>
      <c r="I152" s="155">
        <f t="shared" si="10"/>
        <v>0</v>
      </c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</row>
    <row r="153" spans="1:81" ht="12.75">
      <c r="A153" s="159"/>
      <c r="B153" s="173" t="s">
        <v>256</v>
      </c>
      <c r="C153" s="305">
        <v>611126404</v>
      </c>
      <c r="D153" s="306">
        <v>0.1</v>
      </c>
      <c r="E153" s="306">
        <v>0.2</v>
      </c>
      <c r="F153" s="155">
        <v>40</v>
      </c>
      <c r="G153" s="212">
        <f t="shared" si="8"/>
        <v>0.1</v>
      </c>
      <c r="H153" s="155"/>
      <c r="I153" s="155">
        <f t="shared" si="10"/>
        <v>4</v>
      </c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</row>
    <row r="154" spans="1:81" ht="12.75">
      <c r="A154" s="145" t="s">
        <v>261</v>
      </c>
      <c r="B154" s="143" t="s">
        <v>468</v>
      </c>
      <c r="C154" s="305">
        <v>611127555</v>
      </c>
      <c r="D154" s="306">
        <v>0.1</v>
      </c>
      <c r="E154" s="306">
        <v>0.1</v>
      </c>
      <c r="F154" s="155">
        <v>400</v>
      </c>
      <c r="G154" s="212">
        <f t="shared" si="8"/>
        <v>0</v>
      </c>
      <c r="H154" s="155"/>
      <c r="I154" s="155">
        <f t="shared" si="10"/>
        <v>0</v>
      </c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</row>
    <row r="155" spans="1:81" ht="12.75">
      <c r="A155" s="159"/>
      <c r="B155" s="173" t="s">
        <v>469</v>
      </c>
      <c r="C155" s="305">
        <v>611127687</v>
      </c>
      <c r="D155" s="306">
        <v>0.1</v>
      </c>
      <c r="E155" s="306">
        <v>2</v>
      </c>
      <c r="F155" s="155">
        <v>400</v>
      </c>
      <c r="G155" s="212">
        <f t="shared" si="8"/>
        <v>1.9</v>
      </c>
      <c r="H155" s="155"/>
      <c r="I155" s="155">
        <f t="shared" si="10"/>
        <v>760</v>
      </c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</row>
    <row r="156" spans="1:81" ht="12.75">
      <c r="A156" s="145" t="s">
        <v>477</v>
      </c>
      <c r="B156" s="143" t="s">
        <v>470</v>
      </c>
      <c r="C156" s="311">
        <v>635080400042534</v>
      </c>
      <c r="D156" s="211"/>
      <c r="E156" s="211"/>
      <c r="F156" s="155">
        <v>30</v>
      </c>
      <c r="G156" s="212">
        <f t="shared" si="8"/>
        <v>0</v>
      </c>
      <c r="H156" s="96"/>
      <c r="I156" s="155">
        <f t="shared" si="10"/>
        <v>0</v>
      </c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</row>
    <row r="157" spans="1:81" ht="12.75">
      <c r="A157" s="159"/>
      <c r="B157" s="173" t="s">
        <v>471</v>
      </c>
      <c r="C157" s="311">
        <v>635080400042534</v>
      </c>
      <c r="D157" s="211"/>
      <c r="E157" s="211"/>
      <c r="F157" s="155">
        <v>30</v>
      </c>
      <c r="G157" s="212">
        <f t="shared" si="8"/>
        <v>0</v>
      </c>
      <c r="H157" s="96"/>
      <c r="I157" s="155">
        <f t="shared" si="10"/>
        <v>0</v>
      </c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</row>
    <row r="158" spans="1:81" ht="12.75">
      <c r="A158" s="103"/>
      <c r="B158" s="144"/>
      <c r="C158" s="305">
        <v>611127724</v>
      </c>
      <c r="D158" s="306">
        <v>0.1</v>
      </c>
      <c r="E158" s="306">
        <v>0.2</v>
      </c>
      <c r="F158" s="155">
        <v>30</v>
      </c>
      <c r="G158" s="212">
        <f t="shared" si="8"/>
        <v>0.1</v>
      </c>
      <c r="H158" s="155"/>
      <c r="I158" s="155">
        <f t="shared" si="10"/>
        <v>3</v>
      </c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</row>
    <row r="159" spans="1:81" ht="12.75">
      <c r="A159" s="96" t="s">
        <v>478</v>
      </c>
      <c r="B159" s="312" t="s">
        <v>472</v>
      </c>
      <c r="C159" s="171" t="s">
        <v>473</v>
      </c>
      <c r="D159" s="306"/>
      <c r="E159" s="306"/>
      <c r="F159" s="155">
        <v>40</v>
      </c>
      <c r="G159" s="212">
        <f t="shared" si="8"/>
        <v>0</v>
      </c>
      <c r="H159" s="155"/>
      <c r="I159" s="155">
        <f>ROUND(F159*G159+H159,0)</f>
        <v>0</v>
      </c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</row>
    <row r="160" spans="1:81" ht="12.75">
      <c r="A160" s="103"/>
      <c r="B160" s="148"/>
      <c r="C160" s="150"/>
      <c r="D160" s="150"/>
      <c r="E160" s="150"/>
      <c r="F160" s="150" t="s">
        <v>264</v>
      </c>
      <c r="G160" s="150"/>
      <c r="H160" s="151"/>
      <c r="I160" s="235">
        <f>SUM(I136:I158)-I159</f>
        <v>80542</v>
      </c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</row>
    <row r="161" spans="1:81" ht="12.75">
      <c r="A161" s="102"/>
      <c r="B161" s="150"/>
      <c r="C161" s="150"/>
      <c r="D161" s="150"/>
      <c r="E161" s="150"/>
      <c r="F161" s="150"/>
      <c r="G161" s="150" t="s">
        <v>265</v>
      </c>
      <c r="H161" s="151"/>
      <c r="I161" s="235">
        <f>I107-I133-I160+I109</f>
        <v>2549442.4000000074</v>
      </c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</row>
    <row r="162" spans="1:81" ht="12.75">
      <c r="A162" s="96" t="s">
        <v>272</v>
      </c>
      <c r="B162" s="102" t="s">
        <v>266</v>
      </c>
      <c r="C162" s="150"/>
      <c r="D162" s="150"/>
      <c r="E162" s="150"/>
      <c r="F162" s="150"/>
      <c r="G162" s="150"/>
      <c r="H162" s="150"/>
      <c r="I162" s="151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</row>
    <row r="163" spans="1:81" ht="12.75">
      <c r="A163" s="143" t="s">
        <v>270</v>
      </c>
      <c r="B163" s="143" t="s">
        <v>267</v>
      </c>
      <c r="C163" s="171"/>
      <c r="D163" s="234"/>
      <c r="E163" s="234"/>
      <c r="F163" s="175">
        <v>30</v>
      </c>
      <c r="G163" s="233">
        <f>E163-D163</f>
        <v>0</v>
      </c>
      <c r="H163" s="143"/>
      <c r="I163" s="175">
        <f>F163*G163+H163</f>
        <v>0</v>
      </c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</row>
    <row r="164" spans="1:81" ht="12.75">
      <c r="A164" s="144"/>
      <c r="B164" s="144" t="s">
        <v>268</v>
      </c>
      <c r="C164" s="169"/>
      <c r="D164" s="144"/>
      <c r="E164" s="144"/>
      <c r="F164" s="164"/>
      <c r="G164" s="144"/>
      <c r="H164" s="144"/>
      <c r="I164" s="144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</row>
    <row r="165" spans="1:81" ht="12.75">
      <c r="A165" s="143" t="s">
        <v>271</v>
      </c>
      <c r="B165" s="143" t="s">
        <v>269</v>
      </c>
      <c r="C165" s="171"/>
      <c r="D165" s="234"/>
      <c r="E165" s="234"/>
      <c r="F165" s="175">
        <v>30</v>
      </c>
      <c r="G165" s="233">
        <f>E165-D165</f>
        <v>0</v>
      </c>
      <c r="H165" s="143"/>
      <c r="I165" s="175">
        <f>F165*G165+H165</f>
        <v>0</v>
      </c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</row>
    <row r="166" spans="1:81" ht="12.75">
      <c r="A166" s="144"/>
      <c r="B166" s="144" t="s">
        <v>268</v>
      </c>
      <c r="C166" s="169"/>
      <c r="D166" s="144"/>
      <c r="E166" s="144"/>
      <c r="F166" s="164"/>
      <c r="G166" s="144"/>
      <c r="H166" s="144"/>
      <c r="I166" s="144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</row>
    <row r="167" spans="1:81" ht="12.75">
      <c r="A167" s="102"/>
      <c r="B167" s="150"/>
      <c r="C167" s="217"/>
      <c r="D167" s="199"/>
      <c r="E167" s="218"/>
      <c r="F167" s="218" t="s">
        <v>273</v>
      </c>
      <c r="G167" s="219"/>
      <c r="H167" s="151"/>
      <c r="I167" s="155">
        <f>I163+I165</f>
        <v>0</v>
      </c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</row>
    <row r="168" spans="1:81" ht="12.75">
      <c r="A168" s="102"/>
      <c r="B168" s="150"/>
      <c r="C168" s="217"/>
      <c r="D168" s="199"/>
      <c r="E168" s="218"/>
      <c r="F168" s="218"/>
      <c r="G168" s="219" t="s">
        <v>274</v>
      </c>
      <c r="H168" s="151"/>
      <c r="I168" s="235">
        <f>I161+I167</f>
        <v>2549442.4000000074</v>
      </c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</row>
    <row r="169" spans="1:81" ht="12.75">
      <c r="A169" s="145" t="s">
        <v>275</v>
      </c>
      <c r="B169" s="146"/>
      <c r="C169" s="220"/>
      <c r="D169" s="202"/>
      <c r="E169" s="221"/>
      <c r="F169" s="221"/>
      <c r="G169" s="204"/>
      <c r="H169" s="146"/>
      <c r="I169" s="205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</row>
    <row r="170" spans="1:81" ht="12.75">
      <c r="A170" s="222" t="s">
        <v>276</v>
      </c>
      <c r="B170" s="223"/>
      <c r="C170" s="223"/>
      <c r="D170" s="191"/>
      <c r="E170" s="148"/>
      <c r="F170" s="148"/>
      <c r="G170" s="148"/>
      <c r="H170" s="148"/>
      <c r="I170" s="209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</row>
    <row r="171" spans="1:81" ht="12.75">
      <c r="A171" s="160" t="s">
        <v>279</v>
      </c>
      <c r="B171" s="160"/>
      <c r="C171" s="264"/>
      <c r="D171" s="181"/>
      <c r="E171" s="265"/>
      <c r="F171" s="265"/>
      <c r="G171" s="188"/>
      <c r="H171" s="160"/>
      <c r="I171" s="19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</row>
    <row r="172" spans="1:81" ht="12.75">
      <c r="A172" s="160"/>
      <c r="B172" s="160"/>
      <c r="C172" s="181"/>
      <c r="D172" s="313" t="s">
        <v>280</v>
      </c>
      <c r="E172" s="313"/>
      <c r="F172" s="314"/>
      <c r="G172" s="243"/>
      <c r="H172" s="243"/>
      <c r="I172" s="189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</row>
    <row r="173" spans="1:81" ht="12.75">
      <c r="A173" s="160"/>
      <c r="B173" s="160"/>
      <c r="C173" s="181"/>
      <c r="D173" s="313" t="s">
        <v>474</v>
      </c>
      <c r="E173" s="313"/>
      <c r="F173" s="314"/>
      <c r="G173" s="243"/>
      <c r="H173" s="243"/>
      <c r="I173" s="189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</row>
    <row r="174" spans="1:81" ht="12.75">
      <c r="A174" s="160"/>
      <c r="B174" s="160"/>
      <c r="C174" s="264"/>
      <c r="D174" s="313" t="s">
        <v>285</v>
      </c>
      <c r="E174" s="313"/>
      <c r="F174" s="314"/>
      <c r="G174" s="243"/>
      <c r="H174" s="243"/>
      <c r="I174" s="189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</row>
    <row r="175" spans="1:81" ht="12.75">
      <c r="A175" s="160"/>
      <c r="B175" s="160"/>
      <c r="C175" s="160"/>
      <c r="D175" s="160"/>
      <c r="E175" s="160"/>
      <c r="F175" s="160"/>
      <c r="G175" s="160"/>
      <c r="H175" s="160"/>
      <c r="I175" s="16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</row>
    <row r="176" spans="1:81" ht="12.75">
      <c r="A176" s="160"/>
      <c r="B176" s="160"/>
      <c r="C176" s="160"/>
      <c r="D176" s="160"/>
      <c r="E176" s="160"/>
      <c r="F176" s="160"/>
      <c r="G176" s="160"/>
      <c r="H176" s="160"/>
      <c r="I176" s="16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</row>
    <row r="177" spans="1:81" ht="12.75">
      <c r="A177" s="160"/>
      <c r="B177" s="160"/>
      <c r="C177" s="315"/>
      <c r="D177" s="316"/>
      <c r="E177" s="316"/>
      <c r="F177" s="180"/>
      <c r="G177" s="317"/>
      <c r="H177" s="160"/>
      <c r="I177" s="18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</row>
    <row r="178" spans="1:81" ht="12.75">
      <c r="A178" s="243"/>
      <c r="B178" s="160"/>
      <c r="C178" s="315"/>
      <c r="D178" s="316"/>
      <c r="E178" s="316"/>
      <c r="F178" s="180"/>
      <c r="G178" s="317"/>
      <c r="H178" s="160"/>
      <c r="I178" s="18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</row>
    <row r="179" spans="1:81" ht="12.75">
      <c r="A179" s="160"/>
      <c r="B179" s="160"/>
      <c r="C179" s="160"/>
      <c r="D179" s="160"/>
      <c r="E179" s="160"/>
      <c r="F179" s="160"/>
      <c r="G179" s="160"/>
      <c r="H179" s="160"/>
      <c r="I179" s="16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</row>
    <row r="180" spans="1:81" ht="12.75">
      <c r="A180" s="160"/>
      <c r="B180" s="160"/>
      <c r="C180" s="160"/>
      <c r="D180" s="160"/>
      <c r="E180" s="160"/>
      <c r="F180" s="160"/>
      <c r="G180" s="160"/>
      <c r="H180" s="160"/>
      <c r="I180" s="16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</row>
    <row r="181" spans="39:81" ht="12.75">
      <c r="AM181" s="4"/>
      <c r="AN181" s="4"/>
      <c r="AO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</row>
    <row r="182" spans="39:81" ht="12.75">
      <c r="AM182" s="4"/>
      <c r="AN182" s="4"/>
      <c r="AO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</row>
    <row r="183" spans="39:81" ht="12.75">
      <c r="AM183" s="4"/>
      <c r="AN183" s="4"/>
      <c r="AO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</row>
    <row r="184" spans="1:81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</row>
    <row r="185" spans="1:81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</row>
    <row r="186" spans="1:81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</row>
    <row r="187" spans="1:81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</row>
    <row r="188" spans="1:81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</row>
    <row r="189" spans="1:81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</row>
    <row r="190" spans="1:81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</row>
    <row r="191" spans="1:81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</row>
    <row r="192" spans="1:81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</row>
    <row r="193" spans="1:81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</row>
    <row r="194" spans="1:81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</row>
    <row r="195" spans="1:81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</row>
    <row r="196" spans="1:81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</row>
    <row r="197" spans="1:81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</row>
    <row r="198" spans="1:81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</row>
    <row r="199" spans="1:81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</row>
    <row r="200" spans="1:8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</row>
    <row r="201" spans="1:8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</row>
    <row r="202" spans="1:8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</row>
    <row r="203" spans="1:8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</row>
    <row r="204" spans="1:8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</row>
    <row r="205" spans="1:8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</row>
    <row r="206" spans="1:8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</row>
    <row r="207" spans="1:8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</row>
    <row r="208" spans="1:8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</row>
    <row r="209" spans="1:8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</row>
    <row r="210" spans="1:8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</row>
    <row r="211" spans="1:8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</row>
    <row r="212" spans="1:8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</row>
    <row r="213" spans="1:8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</row>
    <row r="214" spans="1:8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</row>
    <row r="215" spans="1:8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</row>
    <row r="216" spans="1:8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</row>
    <row r="217" spans="1:8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</row>
    <row r="218" spans="1:8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</row>
    <row r="219" spans="1:8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</row>
    <row r="220" spans="1:81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</row>
    <row r="221" spans="1:8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</row>
    <row r="222" spans="1:81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</row>
    <row r="223" spans="1:81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</row>
    <row r="224" spans="1:81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</row>
    <row r="225" spans="1:8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</row>
    <row r="226" spans="1:81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</row>
    <row r="227" spans="1:81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</row>
    <row r="228" spans="1:81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</row>
    <row r="229" spans="1:81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</row>
    <row r="230" spans="1:81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</row>
    <row r="231" spans="1:81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</row>
    <row r="232" spans="1:81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</row>
    <row r="233" spans="1:81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</row>
    <row r="234" spans="1:81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</row>
    <row r="235" spans="1:81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</row>
    <row r="236" spans="1:81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</row>
    <row r="237" spans="1:81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</row>
    <row r="238" spans="1:81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</row>
    <row r="239" spans="1:81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</row>
    <row r="240" spans="1:81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</row>
    <row r="241" spans="1:81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</row>
    <row r="242" spans="1:81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</row>
    <row r="243" spans="1:81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</row>
    <row r="244" spans="1:81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</row>
    <row r="245" spans="1:81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</row>
    <row r="246" spans="1:81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</row>
    <row r="247" spans="1:81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</row>
    <row r="248" spans="1:81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</row>
    <row r="249" spans="1:81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</row>
    <row r="250" spans="1:81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</row>
    <row r="251" spans="1:81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</row>
    <row r="252" spans="1:81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</row>
    <row r="253" spans="1:81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</row>
    <row r="254" spans="1:81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</row>
    <row r="255" spans="1:81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</row>
    <row r="256" spans="1:81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</row>
    <row r="257" spans="1:81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</row>
    <row r="258" spans="1:81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</row>
    <row r="259" spans="1:81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</row>
    <row r="260" spans="1:81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</row>
    <row r="261" spans="1:81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</row>
    <row r="262" spans="1:81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</row>
    <row r="263" spans="1:81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</row>
    <row r="264" spans="1:81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</row>
    <row r="265" spans="1:81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</row>
    <row r="266" spans="1:81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</row>
    <row r="267" spans="1:81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</row>
    <row r="268" spans="1:81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</row>
    <row r="269" spans="1:81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</row>
    <row r="270" spans="1:81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</row>
    <row r="271" spans="1:81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</row>
    <row r="272" spans="1:81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</row>
    <row r="273" spans="1:81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</row>
    <row r="274" spans="1:81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</row>
    <row r="275" spans="1:81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</row>
    <row r="276" spans="1:81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</row>
    <row r="277" spans="1:81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</row>
    <row r="278" spans="1:81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</row>
    <row r="279" spans="1:81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</row>
    <row r="280" spans="1:81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</row>
    <row r="281" spans="1:81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</row>
    <row r="282" spans="1:81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</row>
    <row r="283" spans="1:81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</row>
    <row r="284" spans="1:81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</row>
    <row r="285" spans="1:81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</row>
    <row r="286" spans="1:81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</row>
    <row r="287" spans="1:81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</row>
    <row r="288" spans="1:81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</row>
    <row r="289" spans="1:81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</row>
    <row r="290" spans="1:81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</row>
    <row r="291" spans="1:81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</row>
    <row r="292" spans="1:81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</row>
    <row r="293" spans="1:81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</row>
    <row r="294" spans="1:81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</row>
    <row r="295" spans="1:81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</row>
    <row r="296" spans="1:81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</row>
    <row r="297" spans="1:81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</row>
    <row r="298" spans="1:81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</row>
    <row r="299" spans="1:81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</row>
    <row r="300" spans="1:81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</row>
    <row r="301" spans="1:81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</row>
    <row r="302" spans="1:81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</row>
    <row r="303" spans="1:81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</row>
    <row r="304" spans="1:81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</row>
    <row r="305" spans="1:81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</row>
    <row r="306" spans="1:81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</row>
    <row r="307" spans="1:81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</row>
    <row r="308" spans="1:81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</row>
    <row r="309" spans="1:81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</row>
    <row r="310" spans="1:81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</row>
    <row r="311" spans="1:81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</row>
    <row r="312" spans="1:81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</row>
    <row r="313" spans="1:81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</row>
    <row r="314" spans="1:81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</row>
    <row r="315" spans="1:81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</row>
    <row r="316" spans="1:81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</row>
    <row r="317" spans="1:81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</row>
    <row r="318" spans="1:81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</row>
    <row r="319" spans="1:81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</row>
    <row r="320" spans="1:81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</row>
    <row r="321" spans="1:81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</row>
    <row r="322" spans="1:81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</row>
    <row r="323" spans="1:81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</row>
    <row r="324" spans="1:81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</row>
    <row r="325" spans="1:81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</row>
    <row r="326" spans="1:81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</row>
    <row r="327" spans="1:81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</row>
    <row r="328" spans="1:81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</row>
    <row r="329" spans="1:81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</row>
    <row r="330" spans="1:81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</row>
    <row r="331" spans="1:81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</row>
    <row r="332" spans="1:81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</row>
    <row r="333" spans="1:81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</row>
    <row r="334" spans="1:81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</row>
    <row r="335" spans="1:81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</row>
    <row r="336" spans="1:81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</row>
    <row r="337" spans="1:81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</row>
    <row r="338" spans="1:81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</row>
    <row r="339" spans="1:81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</row>
    <row r="340" spans="1:81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</row>
    <row r="341" spans="1:81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</row>
    <row r="342" spans="1:81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</row>
    <row r="343" spans="1:81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</row>
    <row r="344" spans="1:81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</row>
    <row r="345" spans="1:81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</row>
    <row r="346" spans="1:81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</row>
    <row r="347" spans="1:81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</row>
    <row r="348" spans="1:81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</row>
    <row r="349" spans="1:81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</row>
    <row r="350" spans="1:81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</row>
    <row r="351" spans="1:81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</row>
    <row r="352" spans="1:81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</row>
    <row r="353" spans="1:81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</row>
    <row r="354" spans="1:81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</row>
    <row r="355" spans="1:81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</row>
    <row r="356" spans="1:81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</row>
    <row r="357" spans="1:81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</row>
    <row r="358" spans="1:81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</row>
    <row r="359" spans="1:81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</row>
    <row r="360" spans="1:81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</row>
    <row r="361" spans="1:81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</row>
    <row r="362" spans="1:81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</row>
    <row r="363" spans="1:81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</row>
    <row r="364" spans="1:81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</row>
    <row r="365" spans="1:81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</row>
    <row r="366" spans="1:81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</row>
    <row r="367" spans="1:81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</row>
    <row r="368" spans="1:81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</row>
    <row r="369" spans="1:81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</row>
    <row r="370" spans="1:81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</row>
    <row r="371" spans="1:81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</row>
    <row r="372" spans="1:81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</row>
    <row r="373" spans="1:81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</row>
    <row r="374" spans="1:81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</row>
    <row r="375" spans="1:81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</row>
    <row r="376" spans="1:81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</row>
    <row r="377" spans="1:81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</row>
    <row r="378" spans="1:81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</row>
    <row r="379" spans="1:81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</row>
    <row r="380" spans="1:81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</row>
    <row r="381" spans="1:81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</row>
    <row r="382" spans="1:81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</row>
    <row r="383" spans="1:81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</row>
    <row r="384" spans="1:81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</row>
    <row r="385" spans="1:81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</row>
    <row r="386" spans="1:81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</row>
    <row r="387" spans="1:81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</row>
    <row r="388" spans="1:81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</row>
    <row r="389" spans="1:81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</row>
    <row r="390" spans="1:81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</row>
    <row r="391" spans="1:81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</row>
    <row r="392" spans="1:81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</row>
    <row r="393" spans="1:81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</row>
    <row r="394" spans="1:81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</row>
    <row r="395" spans="1:81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</row>
    <row r="396" spans="1:81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</row>
    <row r="397" spans="1:81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</row>
    <row r="398" spans="1:81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</row>
    <row r="399" spans="1:81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</row>
    <row r="400" spans="1:81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</row>
    <row r="401" spans="1:81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</row>
    <row r="402" spans="1:81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</row>
    <row r="403" spans="1:81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</row>
    <row r="404" spans="1:81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</row>
    <row r="405" spans="1:81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</row>
    <row r="406" spans="1:81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</row>
    <row r="407" spans="1:81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</row>
    <row r="408" spans="1:81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</row>
    <row r="409" spans="1:81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</row>
    <row r="410" spans="1:81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</row>
    <row r="411" spans="1:81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</row>
    <row r="412" spans="1:81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</row>
    <row r="413" spans="1:81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</row>
    <row r="414" spans="1:81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</row>
    <row r="415" spans="1:81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</row>
    <row r="416" spans="1:81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</row>
    <row r="417" spans="1:81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</row>
    <row r="418" spans="1:81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</row>
    <row r="419" spans="1:81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</row>
    <row r="420" spans="1:81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</row>
    <row r="421" spans="1:81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</row>
    <row r="422" spans="1:81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</row>
    <row r="423" spans="1:81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</row>
    <row r="424" spans="1:81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</row>
    <row r="425" spans="1:81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</row>
    <row r="426" spans="1:81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</row>
    <row r="427" spans="1:81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</row>
    <row r="428" spans="1:81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</row>
    <row r="429" spans="1:81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</row>
    <row r="430" spans="1:81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</row>
    <row r="431" spans="1:81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</row>
    <row r="432" spans="1:81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</row>
    <row r="433" spans="1:81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</row>
    <row r="434" spans="1:81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</row>
    <row r="435" spans="1:81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</row>
    <row r="436" spans="1:81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</row>
    <row r="437" spans="1:81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</row>
    <row r="438" spans="1:81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</row>
    <row r="439" spans="1:81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</row>
    <row r="440" spans="1:81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</row>
    <row r="441" spans="1:81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</row>
    <row r="442" spans="1:81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</row>
    <row r="443" spans="1:81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</row>
    <row r="444" spans="1:81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</row>
    <row r="445" spans="1:81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</row>
    <row r="446" spans="1:81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</row>
    <row r="447" spans="1:81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</row>
    <row r="448" spans="1:81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</row>
    <row r="449" spans="1:81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</row>
    <row r="450" spans="1:81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</row>
    <row r="451" spans="1:81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</row>
    <row r="452" spans="1:81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</row>
    <row r="453" spans="1:81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</row>
    <row r="454" spans="1:81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</row>
    <row r="455" spans="1:81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</row>
    <row r="456" spans="1:81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</row>
    <row r="457" spans="1:81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</row>
    <row r="458" spans="1:81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</row>
    <row r="459" spans="1:81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</row>
    <row r="460" spans="1:81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</row>
    <row r="461" spans="1:81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</row>
    <row r="462" spans="1:81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</row>
    <row r="463" spans="1:81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</row>
    <row r="464" spans="1:81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</row>
    <row r="465" spans="1:81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</row>
    <row r="466" spans="1:81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</row>
    <row r="467" spans="1:81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</row>
    <row r="468" spans="1:81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</row>
    <row r="469" spans="1:81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</row>
    <row r="470" spans="1:81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</row>
    <row r="471" spans="1:81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</row>
    <row r="472" spans="1:81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</row>
    <row r="473" spans="1:81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</row>
    <row r="474" spans="1:81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</row>
    <row r="475" spans="1:81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</row>
    <row r="476" spans="1:81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</row>
    <row r="477" spans="1:81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</row>
    <row r="478" spans="1:81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</row>
    <row r="479" spans="1:81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</row>
    <row r="480" spans="1:81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</row>
    <row r="481" spans="1:81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</row>
    <row r="482" spans="1:81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</row>
    <row r="483" spans="1:81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</row>
    <row r="484" spans="1:81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</row>
    <row r="485" spans="1:81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</row>
    <row r="486" spans="1:81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</row>
    <row r="487" spans="1:81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</row>
    <row r="488" spans="1:81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</row>
    <row r="489" spans="1:81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</row>
    <row r="490" spans="1:81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</row>
    <row r="491" spans="1:81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</row>
    <row r="492" spans="1:81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</row>
    <row r="493" spans="1:81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</row>
    <row r="494" spans="1:81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</row>
    <row r="495" spans="1:81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</row>
    <row r="496" spans="1:81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</row>
    <row r="497" spans="1:81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</row>
    <row r="498" spans="1:81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</row>
    <row r="499" spans="1:81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</row>
    <row r="500" spans="1:81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</row>
    <row r="501" spans="1:81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</row>
    <row r="502" spans="1:81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</row>
    <row r="503" spans="1:81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</row>
    <row r="504" spans="1:81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</row>
    <row r="505" spans="1:81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</row>
    <row r="506" spans="1:81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</row>
    <row r="507" spans="1:81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</row>
    <row r="508" spans="1:81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</row>
    <row r="509" spans="1:81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</row>
    <row r="510" spans="1:81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</row>
    <row r="511" spans="1:81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</row>
    <row r="512" spans="1:81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</row>
    <row r="513" spans="1:81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</row>
    <row r="514" spans="1:81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</row>
    <row r="515" spans="1:81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</row>
    <row r="516" spans="1:81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</row>
    <row r="517" spans="1:81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</row>
    <row r="518" spans="1:81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</row>
    <row r="519" spans="1:81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</row>
    <row r="520" spans="1:81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</row>
    <row r="521" spans="1:81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</row>
    <row r="522" spans="1:81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</row>
    <row r="523" spans="1:81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</row>
    <row r="524" spans="28:81" ht="12.75"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</row>
    <row r="525" spans="28:81" ht="12.75"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</row>
  </sheetData>
  <sheetProtection/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26"/>
  <sheetViews>
    <sheetView zoomScalePageLayoutView="0" workbookViewId="0" topLeftCell="A1">
      <selection activeCell="P8" sqref="P8"/>
    </sheetView>
  </sheetViews>
  <sheetFormatPr defaultColWidth="9.00390625" defaultRowHeight="12.75"/>
  <cols>
    <col min="2" max="2" width="15.125" style="0" customWidth="1"/>
    <col min="3" max="3" width="10.875" style="0" customWidth="1"/>
    <col min="7" max="7" width="8.25390625" style="0" customWidth="1"/>
    <col min="8" max="8" width="4.875" style="0" customWidth="1"/>
    <col min="9" max="9" width="10.875" style="0" customWidth="1"/>
    <col min="15" max="15" width="5.375" style="0" customWidth="1"/>
    <col min="16" max="16" width="9.75390625" style="0" customWidth="1"/>
    <col min="17" max="17" width="8.875" style="0" customWidth="1"/>
    <col min="18" max="18" width="13.625" style="0" customWidth="1"/>
    <col min="23" max="23" width="8.375" style="0" customWidth="1"/>
    <col min="24" max="24" width="10.625" style="0" customWidth="1"/>
    <col min="25" max="25" width="11.875" style="0" customWidth="1"/>
    <col min="26" max="26" width="8.00390625" style="0" customWidth="1"/>
    <col min="27" max="27" width="9.75390625" style="0" customWidth="1"/>
  </cols>
  <sheetData>
    <row r="1" spans="1:36" ht="12.75">
      <c r="A1" s="11" t="s">
        <v>106</v>
      </c>
      <c r="B1" s="11"/>
      <c r="C1" s="11"/>
      <c r="D1" s="11"/>
      <c r="E1" s="11"/>
      <c r="F1" s="11"/>
      <c r="G1" s="11"/>
      <c r="H1" s="11"/>
      <c r="I1" s="11"/>
      <c r="J1" s="11" t="s">
        <v>399</v>
      </c>
      <c r="K1" s="4"/>
      <c r="L1" s="4"/>
      <c r="M1" s="4"/>
      <c r="N1" s="4"/>
      <c r="O1" s="4"/>
      <c r="P1" s="4"/>
      <c r="Q1" s="4"/>
      <c r="R1" s="4"/>
      <c r="S1" s="4" t="s">
        <v>96</v>
      </c>
      <c r="T1" s="4"/>
      <c r="U1" s="4"/>
      <c r="V1" s="4"/>
      <c r="W1" s="4"/>
      <c r="X1" s="4"/>
      <c r="Y1" s="4"/>
      <c r="Z1" s="4"/>
      <c r="AA1" s="4"/>
      <c r="AB1" s="120" t="s">
        <v>325</v>
      </c>
      <c r="AC1" s="120"/>
      <c r="AD1" s="120"/>
      <c r="AE1" s="120"/>
      <c r="AF1" s="120"/>
      <c r="AG1" s="120"/>
      <c r="AH1" s="120"/>
      <c r="AI1" s="120"/>
      <c r="AJ1" s="120"/>
    </row>
    <row r="2" spans="1:36" ht="13.5">
      <c r="A2" s="11" t="s">
        <v>367</v>
      </c>
      <c r="B2" s="11"/>
      <c r="C2" s="11"/>
      <c r="D2" s="11"/>
      <c r="E2" s="11"/>
      <c r="F2" s="11"/>
      <c r="G2" s="11"/>
      <c r="H2" s="11"/>
      <c r="I2" s="11"/>
      <c r="J2" s="11" t="s">
        <v>83</v>
      </c>
      <c r="K2" s="4"/>
      <c r="L2" s="4"/>
      <c r="M2" s="4"/>
      <c r="N2" s="4"/>
      <c r="O2" s="4"/>
      <c r="P2" s="4"/>
      <c r="Q2" s="4"/>
      <c r="R2" s="4"/>
      <c r="S2" s="4" t="s">
        <v>321</v>
      </c>
      <c r="T2" s="4"/>
      <c r="U2" s="4"/>
      <c r="V2" s="4"/>
      <c r="W2" s="4"/>
      <c r="X2" s="4"/>
      <c r="Y2" s="4"/>
      <c r="Z2" s="4"/>
      <c r="AA2" s="4"/>
      <c r="AB2" s="120" t="s">
        <v>324</v>
      </c>
      <c r="AC2" s="120"/>
      <c r="AD2" s="120"/>
      <c r="AE2" s="120"/>
      <c r="AF2" s="120"/>
      <c r="AG2" s="120"/>
      <c r="AH2" s="120"/>
      <c r="AI2" s="120"/>
      <c r="AJ2" s="120"/>
    </row>
    <row r="3" spans="1:36" ht="13.5">
      <c r="A3" s="11"/>
      <c r="B3" s="11" t="s">
        <v>400</v>
      </c>
      <c r="C3" s="11"/>
      <c r="D3" s="11"/>
      <c r="E3" s="11"/>
      <c r="F3" s="31" t="s">
        <v>319</v>
      </c>
      <c r="G3" s="48" t="s">
        <v>58</v>
      </c>
      <c r="H3" s="11"/>
      <c r="I3" s="11"/>
      <c r="J3" s="11"/>
      <c r="K3" s="4" t="s">
        <v>400</v>
      </c>
      <c r="L3" s="4"/>
      <c r="M3" s="4"/>
      <c r="N3" s="4"/>
      <c r="O3" s="29" t="s">
        <v>319</v>
      </c>
      <c r="P3" s="29" t="s">
        <v>86</v>
      </c>
      <c r="Q3" s="4"/>
      <c r="R3" s="4"/>
      <c r="S3" s="4"/>
      <c r="T3" s="4"/>
      <c r="U3" s="4"/>
      <c r="V3" s="4"/>
      <c r="W3" s="4"/>
      <c r="X3" s="4" t="s">
        <v>105</v>
      </c>
      <c r="Y3" s="4"/>
      <c r="Z3" s="4"/>
      <c r="AA3" s="4"/>
      <c r="AB3" s="120" t="s">
        <v>326</v>
      </c>
      <c r="AC3" s="120"/>
      <c r="AD3" s="120"/>
      <c r="AE3" s="120"/>
      <c r="AF3" s="120"/>
      <c r="AG3" s="120"/>
      <c r="AH3" s="120"/>
      <c r="AI3" s="120"/>
      <c r="AJ3" s="120"/>
    </row>
    <row r="4" spans="1:36" ht="12.75">
      <c r="A4" s="12" t="s">
        <v>401</v>
      </c>
      <c r="B4" s="23"/>
      <c r="C4" s="12" t="s">
        <v>402</v>
      </c>
      <c r="D4" s="18" t="s">
        <v>403</v>
      </c>
      <c r="E4" s="22" t="s">
        <v>43</v>
      </c>
      <c r="F4" s="21"/>
      <c r="G4" s="12" t="s">
        <v>404</v>
      </c>
      <c r="H4" s="12" t="s">
        <v>425</v>
      </c>
      <c r="I4" s="13"/>
      <c r="J4" s="23"/>
      <c r="K4" s="23" t="s">
        <v>405</v>
      </c>
      <c r="L4" s="23"/>
      <c r="M4" s="23"/>
      <c r="N4" s="23"/>
      <c r="O4" s="23"/>
      <c r="P4" s="12" t="s">
        <v>406</v>
      </c>
      <c r="Q4" s="12" t="s">
        <v>407</v>
      </c>
      <c r="R4" s="18" t="s">
        <v>364</v>
      </c>
      <c r="S4" s="4"/>
      <c r="T4" s="4"/>
      <c r="U4" s="4"/>
      <c r="V4" s="4"/>
      <c r="W4" s="4"/>
      <c r="X4" s="4" t="s">
        <v>1</v>
      </c>
      <c r="Y4" s="4"/>
      <c r="Z4" s="4"/>
      <c r="AA4" s="4"/>
      <c r="AB4" s="120"/>
      <c r="AC4" s="120"/>
      <c r="AD4" s="120"/>
      <c r="AE4" s="120"/>
      <c r="AF4" s="120"/>
      <c r="AG4" s="120"/>
      <c r="AH4" s="120"/>
      <c r="AI4" s="120"/>
      <c r="AJ4" s="120"/>
    </row>
    <row r="5" spans="1:36" ht="12.75">
      <c r="A5" s="14" t="s">
        <v>408</v>
      </c>
      <c r="B5" s="9"/>
      <c r="C5" s="14" t="s">
        <v>408</v>
      </c>
      <c r="D5" s="20" t="s">
        <v>409</v>
      </c>
      <c r="E5" s="74" t="s">
        <v>410</v>
      </c>
      <c r="F5" s="90" t="s">
        <v>411</v>
      </c>
      <c r="G5" s="14"/>
      <c r="H5" s="14" t="s">
        <v>424</v>
      </c>
      <c r="I5" s="15"/>
      <c r="J5" s="11"/>
      <c r="K5" s="11"/>
      <c r="L5" s="11"/>
      <c r="M5" s="11"/>
      <c r="N5" s="11"/>
      <c r="O5" s="11"/>
      <c r="P5" s="16" t="s">
        <v>413</v>
      </c>
      <c r="Q5" s="16" t="s">
        <v>414</v>
      </c>
      <c r="R5" s="19" t="s">
        <v>80</v>
      </c>
      <c r="S5" s="4"/>
      <c r="T5" s="4"/>
      <c r="U5" s="4"/>
      <c r="V5" s="4"/>
      <c r="W5" s="4"/>
      <c r="X5" s="4" t="s">
        <v>308</v>
      </c>
      <c r="Y5" s="4"/>
      <c r="Z5" s="4"/>
      <c r="AA5" s="4"/>
      <c r="AB5" s="120"/>
      <c r="AC5" s="120"/>
      <c r="AD5" s="120"/>
      <c r="AE5" s="120"/>
      <c r="AF5" s="120"/>
      <c r="AG5" s="120"/>
      <c r="AH5" s="120"/>
      <c r="AI5" s="120"/>
      <c r="AJ5" s="120"/>
    </row>
    <row r="6" spans="1:36" ht="12.75">
      <c r="A6" s="57" t="s">
        <v>42</v>
      </c>
      <c r="B6" s="20"/>
      <c r="C6" s="20"/>
      <c r="D6" s="20"/>
      <c r="E6" s="1"/>
      <c r="F6" s="1"/>
      <c r="G6" s="20"/>
      <c r="H6" s="20"/>
      <c r="I6" s="20"/>
      <c r="J6" s="16"/>
      <c r="K6" s="11"/>
      <c r="L6" s="11"/>
      <c r="M6" s="11"/>
      <c r="N6" s="11"/>
      <c r="O6" s="11"/>
      <c r="P6" s="14" t="s">
        <v>82</v>
      </c>
      <c r="Q6" s="14"/>
      <c r="R6" s="20" t="s">
        <v>81</v>
      </c>
      <c r="S6" s="4"/>
      <c r="T6" s="4"/>
      <c r="U6" s="4"/>
      <c r="V6" s="4"/>
      <c r="W6" s="4"/>
      <c r="X6" s="4"/>
      <c r="Y6" s="4"/>
      <c r="Z6" s="4"/>
      <c r="AA6" s="4"/>
      <c r="AB6" s="120"/>
      <c r="AC6" s="120"/>
      <c r="AD6" s="120"/>
      <c r="AE6" s="120"/>
      <c r="AF6" s="120"/>
      <c r="AG6" s="120"/>
      <c r="AH6" s="120"/>
      <c r="AI6" s="120"/>
      <c r="AJ6" s="120"/>
    </row>
    <row r="7" spans="1:36" ht="12.75">
      <c r="A7" s="1" t="s">
        <v>415</v>
      </c>
      <c r="B7" s="1"/>
      <c r="C7" s="125" t="s">
        <v>305</v>
      </c>
      <c r="D7" s="1">
        <v>36000</v>
      </c>
      <c r="E7" s="8">
        <f>Лист1!E8</f>
        <v>0</v>
      </c>
      <c r="F7" s="8">
        <f>Лист13!F7</f>
        <v>0</v>
      </c>
      <c r="G7" s="8">
        <f>F7-E7</f>
        <v>0</v>
      </c>
      <c r="H7" s="1" t="s">
        <v>416</v>
      </c>
      <c r="I7" s="35">
        <f>D7*G7</f>
        <v>0</v>
      </c>
      <c r="J7" s="12" t="s">
        <v>45</v>
      </c>
      <c r="K7" s="23"/>
      <c r="L7" s="23"/>
      <c r="M7" s="23"/>
      <c r="N7" s="23"/>
      <c r="O7" s="13"/>
      <c r="P7" s="33" t="e">
        <f>I11+I9</f>
        <v>#VALUE!</v>
      </c>
      <c r="Q7" s="37"/>
      <c r="R7" s="39" t="e">
        <f>R8+R14</f>
        <v>#VALUE!</v>
      </c>
      <c r="S7" s="4"/>
      <c r="T7" s="4"/>
      <c r="U7" s="4"/>
      <c r="V7" s="4"/>
      <c r="W7" s="4"/>
      <c r="X7" s="4"/>
      <c r="Y7" s="4"/>
      <c r="Z7" s="4"/>
      <c r="AA7" s="4"/>
      <c r="AB7" s="120" t="s">
        <v>357</v>
      </c>
      <c r="AC7" s="120"/>
      <c r="AD7" s="120"/>
      <c r="AE7" s="120"/>
      <c r="AF7" s="120"/>
      <c r="AG7" s="120"/>
      <c r="AH7" s="120"/>
      <c r="AI7" s="120"/>
      <c r="AJ7" s="120"/>
    </row>
    <row r="8" spans="1:36" ht="12.75">
      <c r="A8" s="1" t="s">
        <v>417</v>
      </c>
      <c r="B8" s="1"/>
      <c r="C8" s="125" t="s">
        <v>322</v>
      </c>
      <c r="D8" s="1">
        <v>36000</v>
      </c>
      <c r="E8" s="8">
        <f>Лист1!E9</f>
        <v>0</v>
      </c>
      <c r="F8" s="8">
        <f>Лист13!F8</f>
        <v>0</v>
      </c>
      <c r="G8" s="8">
        <f>F8-E8</f>
        <v>0</v>
      </c>
      <c r="H8" s="1" t="s">
        <v>418</v>
      </c>
      <c r="I8" s="35">
        <f>D8*G8</f>
        <v>0</v>
      </c>
      <c r="J8" s="32" t="s">
        <v>383</v>
      </c>
      <c r="K8" s="28"/>
      <c r="L8" s="28"/>
      <c r="M8" s="28"/>
      <c r="N8" s="23"/>
      <c r="O8" s="13"/>
      <c r="P8" s="34" t="e">
        <f>I53-P17-P19</f>
        <v>#VALUE!</v>
      </c>
      <c r="Q8" s="60" t="e">
        <f>R8/P8</f>
        <v>#VALUE!</v>
      </c>
      <c r="R8" s="39" t="e">
        <f>R9+R10+R11+R12+R13</f>
        <v>#VALUE!</v>
      </c>
      <c r="S8" s="130" t="s">
        <v>14</v>
      </c>
      <c r="T8" s="130"/>
      <c r="U8" s="130"/>
      <c r="V8" s="130"/>
      <c r="W8" s="130"/>
      <c r="X8" s="130"/>
      <c r="Y8" s="130"/>
      <c r="Z8" s="130"/>
      <c r="AA8" s="130"/>
      <c r="AB8" s="120"/>
      <c r="AC8" s="120"/>
      <c r="AD8" s="120"/>
      <c r="AE8" s="120"/>
      <c r="AF8" s="120"/>
      <c r="AG8" s="120"/>
      <c r="AH8" s="120"/>
      <c r="AI8" s="120"/>
      <c r="AJ8" s="120"/>
    </row>
    <row r="9" spans="1:36" ht="12.75">
      <c r="A9" s="7" t="s">
        <v>24</v>
      </c>
      <c r="B9" s="1"/>
      <c r="C9" s="125" t="s">
        <v>306</v>
      </c>
      <c r="D9" s="1">
        <v>21000</v>
      </c>
      <c r="E9" s="8">
        <f>Лист1!E10</f>
        <v>0</v>
      </c>
      <c r="F9" s="8" t="str">
        <f>Лист13!F9</f>
        <v>телефон: (343) 372-13-55</v>
      </c>
      <c r="G9" s="8" t="e">
        <f>F9-E9</f>
        <v>#VALUE!</v>
      </c>
      <c r="H9" s="1"/>
      <c r="I9" s="35" t="e">
        <f>G9*D9</f>
        <v>#VALUE!</v>
      </c>
      <c r="J9" s="12" t="s">
        <v>419</v>
      </c>
      <c r="K9" s="23"/>
      <c r="L9" s="23"/>
      <c r="M9" s="23"/>
      <c r="N9" s="23"/>
      <c r="O9" s="13"/>
      <c r="P9" s="43">
        <f>Лист1!P10+Лист2!P9+Лист3!P9+Лист4!P9+Лист6!P9+Лист7!P9+Лист8!P9+Лист9!P9+Лист10!P9+Лист11!P9+Лист12!P9+Лист13!P9</f>
        <v>0</v>
      </c>
      <c r="Q9" s="36">
        <v>310.077</v>
      </c>
      <c r="R9" s="44">
        <f>P9*Q9</f>
        <v>0</v>
      </c>
      <c r="S9" s="4" t="s">
        <v>372</v>
      </c>
      <c r="T9" s="4"/>
      <c r="U9" s="4"/>
      <c r="V9" s="4"/>
      <c r="W9" s="4"/>
      <c r="X9" s="4"/>
      <c r="Y9" s="4"/>
      <c r="Z9" s="4"/>
      <c r="AA9" s="4"/>
      <c r="AB9" s="120"/>
      <c r="AC9" s="120"/>
      <c r="AD9" s="120"/>
      <c r="AE9" s="120"/>
      <c r="AF9" s="120"/>
      <c r="AG9" s="120"/>
      <c r="AH9" s="120" t="s">
        <v>327</v>
      </c>
      <c r="AI9" s="120"/>
      <c r="AJ9" s="120"/>
    </row>
    <row r="10" spans="1:36" ht="12.75">
      <c r="A10" s="5" t="s">
        <v>396</v>
      </c>
      <c r="B10" s="5"/>
      <c r="C10" s="5"/>
      <c r="D10" s="1"/>
      <c r="E10" s="1"/>
      <c r="F10" s="1"/>
      <c r="G10" s="1"/>
      <c r="H10" s="1"/>
      <c r="I10" s="35">
        <f>(I7+I8)/100*0.75</f>
        <v>0</v>
      </c>
      <c r="J10" s="12" t="s">
        <v>420</v>
      </c>
      <c r="K10" s="23"/>
      <c r="L10" s="23"/>
      <c r="M10" s="23"/>
      <c r="N10" s="23"/>
      <c r="O10" s="13"/>
      <c r="P10" s="34" t="e">
        <f>I53-I54-P11</f>
        <v>#VALUE!</v>
      </c>
      <c r="Q10" s="58">
        <v>0.68</v>
      </c>
      <c r="R10" s="44" t="e">
        <f>P10*Q10</f>
        <v>#VALUE!</v>
      </c>
      <c r="S10" s="4" t="s">
        <v>385</v>
      </c>
      <c r="T10" s="4"/>
      <c r="U10" s="4"/>
      <c r="V10" s="4"/>
      <c r="W10" s="4"/>
      <c r="X10" s="4"/>
      <c r="Y10" s="4"/>
      <c r="Z10" s="4"/>
      <c r="AA10" s="4"/>
      <c r="AB10" s="120"/>
      <c r="AC10" s="120"/>
      <c r="AD10" s="120"/>
      <c r="AE10" s="120"/>
      <c r="AF10" s="120"/>
      <c r="AG10" s="120"/>
      <c r="AH10" s="120"/>
      <c r="AI10" s="120"/>
      <c r="AJ10" s="120"/>
    </row>
    <row r="11" spans="1:36" ht="12.75">
      <c r="A11" s="5" t="s">
        <v>114</v>
      </c>
      <c r="B11" s="5"/>
      <c r="C11" s="5"/>
      <c r="D11" s="1"/>
      <c r="E11" s="1"/>
      <c r="F11" s="1"/>
      <c r="G11" s="1"/>
      <c r="H11" s="1"/>
      <c r="I11" s="35">
        <f>I7+I8+I10</f>
        <v>0</v>
      </c>
      <c r="J11" s="12" t="s">
        <v>397</v>
      </c>
      <c r="K11" s="23"/>
      <c r="L11" s="23"/>
      <c r="M11" s="23"/>
      <c r="N11" s="23"/>
      <c r="O11" s="13"/>
      <c r="P11" s="34" t="e">
        <f>(I53-I54)/100*10</f>
        <v>#VALUE!</v>
      </c>
      <c r="Q11" s="178">
        <v>0.90633</v>
      </c>
      <c r="R11" s="44" t="e">
        <f>Q11*P11</f>
        <v>#VALUE!</v>
      </c>
      <c r="S11" s="4" t="s">
        <v>2</v>
      </c>
      <c r="T11" s="4"/>
      <c r="U11" s="4"/>
      <c r="V11" s="4"/>
      <c r="W11" s="4"/>
      <c r="X11" s="4"/>
      <c r="Y11" s="4"/>
      <c r="Z11" s="4"/>
      <c r="AA11" s="4"/>
      <c r="AB11" s="143" t="s">
        <v>335</v>
      </c>
      <c r="AC11" s="145" t="s">
        <v>336</v>
      </c>
      <c r="AD11" s="146"/>
      <c r="AE11" s="147"/>
      <c r="AF11" s="102" t="s">
        <v>337</v>
      </c>
      <c r="AG11" s="150"/>
      <c r="AH11" s="150"/>
      <c r="AI11" s="150"/>
      <c r="AJ11" s="151"/>
    </row>
    <row r="12" spans="1:36" ht="12.75">
      <c r="A12" s="77" t="s">
        <v>5</v>
      </c>
      <c r="B12" s="1"/>
      <c r="C12" s="125" t="s">
        <v>307</v>
      </c>
      <c r="D12" s="1">
        <v>1800</v>
      </c>
      <c r="E12" s="8">
        <f>Лист1!E13</f>
        <v>5</v>
      </c>
      <c r="F12" s="8" t="str">
        <f>Лист13!F12</f>
        <v>мации</v>
      </c>
      <c r="G12" s="8" t="e">
        <f aca="true" t="shared" si="0" ref="G12:G18">F12-E12</f>
        <v>#VALUE!</v>
      </c>
      <c r="H12" s="1"/>
      <c r="I12" s="35" t="e">
        <f>G12*D12</f>
        <v>#VALUE!</v>
      </c>
      <c r="J12" s="12" t="s">
        <v>421</v>
      </c>
      <c r="K12" s="23"/>
      <c r="L12" s="23"/>
      <c r="M12" s="23"/>
      <c r="N12" s="23"/>
      <c r="O12" s="13"/>
      <c r="P12" s="34">
        <v>0</v>
      </c>
      <c r="Q12" s="59">
        <f>Q9*0.08</f>
        <v>24.806160000000002</v>
      </c>
      <c r="R12" s="44">
        <f>P12*Q12</f>
        <v>0</v>
      </c>
      <c r="S12" s="4" t="s">
        <v>460</v>
      </c>
      <c r="T12" s="4"/>
      <c r="U12" s="4"/>
      <c r="V12" s="4"/>
      <c r="W12" s="4"/>
      <c r="X12" s="4"/>
      <c r="Y12" s="4"/>
      <c r="Z12" s="4"/>
      <c r="AA12" s="4"/>
      <c r="AB12" s="144"/>
      <c r="AC12" s="103"/>
      <c r="AD12" s="148"/>
      <c r="AE12" s="149"/>
      <c r="AF12" s="152" t="s">
        <v>338</v>
      </c>
      <c r="AG12" s="152" t="s">
        <v>339</v>
      </c>
      <c r="AH12" s="152" t="s">
        <v>340</v>
      </c>
      <c r="AI12" s="152" t="s">
        <v>341</v>
      </c>
      <c r="AJ12" s="152" t="s">
        <v>342</v>
      </c>
    </row>
    <row r="13" spans="1:36" ht="12.75">
      <c r="A13" s="78" t="s">
        <v>13</v>
      </c>
      <c r="B13" s="52"/>
      <c r="C13" s="74">
        <v>403134</v>
      </c>
      <c r="D13" s="1">
        <v>40</v>
      </c>
      <c r="E13" s="8">
        <f>Лист1!E14</f>
        <v>0</v>
      </c>
      <c r="F13" s="8">
        <f>Лист13!F13</f>
        <v>6</v>
      </c>
      <c r="G13" s="8">
        <f t="shared" si="0"/>
        <v>6</v>
      </c>
      <c r="H13" s="1"/>
      <c r="I13" s="35">
        <f>G13*D13</f>
        <v>240</v>
      </c>
      <c r="J13" s="21" t="s">
        <v>422</v>
      </c>
      <c r="K13" s="24"/>
      <c r="L13" s="24"/>
      <c r="M13" s="24"/>
      <c r="N13" s="24"/>
      <c r="O13" s="22"/>
      <c r="P13" s="34">
        <v>0</v>
      </c>
      <c r="Q13" s="58">
        <f>Q10*0.08</f>
        <v>0.054400000000000004</v>
      </c>
      <c r="R13" s="44">
        <f>P13*Q13</f>
        <v>0</v>
      </c>
      <c r="S13" s="4" t="s">
        <v>461</v>
      </c>
      <c r="T13" s="4"/>
      <c r="U13" s="4"/>
      <c r="V13" s="4"/>
      <c r="W13" s="4"/>
      <c r="X13" s="4"/>
      <c r="Y13" s="4"/>
      <c r="Z13" s="4"/>
      <c r="AA13" s="4"/>
      <c r="AB13" s="152">
        <v>1</v>
      </c>
      <c r="AC13" s="96"/>
      <c r="AD13" s="96"/>
      <c r="AE13" s="96"/>
      <c r="AF13" s="155">
        <f>AG13+AH13+AI13+AJ13</f>
        <v>0</v>
      </c>
      <c r="AG13" s="152"/>
      <c r="AH13" s="155"/>
      <c r="AI13" s="155"/>
      <c r="AJ13" s="152"/>
    </row>
    <row r="14" spans="1:36" ht="12.75">
      <c r="A14" s="55" t="s">
        <v>17</v>
      </c>
      <c r="B14" s="56"/>
      <c r="C14" s="121">
        <v>3491</v>
      </c>
      <c r="D14" s="1">
        <v>60</v>
      </c>
      <c r="E14" s="8">
        <f>Лист1!E15</f>
        <v>0</v>
      </c>
      <c r="F14" s="8">
        <f>Лист13!F14</f>
        <v>0</v>
      </c>
      <c r="G14" s="8">
        <f t="shared" si="0"/>
        <v>0</v>
      </c>
      <c r="H14" s="1"/>
      <c r="I14" s="35">
        <f>D14*G14</f>
        <v>0</v>
      </c>
      <c r="J14" s="20" t="s">
        <v>423</v>
      </c>
      <c r="K14" s="20"/>
      <c r="L14" s="20"/>
      <c r="M14" s="20"/>
      <c r="N14" s="20"/>
      <c r="O14" s="20"/>
      <c r="P14" s="35">
        <f>P15+P16+P17+P19</f>
        <v>-121931.0928</v>
      </c>
      <c r="Q14" s="58"/>
      <c r="R14" s="44">
        <f>R15+R16+R17+R19</f>
        <v>-101324.73811679998</v>
      </c>
      <c r="S14" s="4" t="s">
        <v>0</v>
      </c>
      <c r="T14" s="4"/>
      <c r="U14" s="4"/>
      <c r="V14" s="4"/>
      <c r="W14" s="4"/>
      <c r="X14" s="4"/>
      <c r="Y14" s="4"/>
      <c r="Z14" s="4"/>
      <c r="AA14" s="4"/>
      <c r="AB14" s="156">
        <v>2</v>
      </c>
      <c r="AC14" s="145" t="s">
        <v>95</v>
      </c>
      <c r="AD14" s="146"/>
      <c r="AE14" s="147"/>
      <c r="AF14" s="162"/>
      <c r="AG14" s="165"/>
      <c r="AH14" s="165"/>
      <c r="AI14" s="165"/>
      <c r="AJ14" s="171"/>
    </row>
    <row r="15" spans="1:36" ht="12.75">
      <c r="A15" s="78" t="s">
        <v>347</v>
      </c>
      <c r="B15" s="85"/>
      <c r="C15" s="128" t="s">
        <v>53</v>
      </c>
      <c r="D15" s="22">
        <v>3600</v>
      </c>
      <c r="E15" s="8">
        <f>Лист4!E15</f>
        <v>0</v>
      </c>
      <c r="F15" s="8">
        <f>Лист13!F15</f>
        <v>0</v>
      </c>
      <c r="G15" s="8">
        <f t="shared" si="0"/>
        <v>0</v>
      </c>
      <c r="H15" s="1"/>
      <c r="I15" s="35">
        <f>D15*G15</f>
        <v>0</v>
      </c>
      <c r="J15" s="18" t="s">
        <v>296</v>
      </c>
      <c r="K15" s="18"/>
      <c r="L15" s="18"/>
      <c r="M15" s="18"/>
      <c r="N15" s="18"/>
      <c r="O15" s="18"/>
      <c r="P15" s="35"/>
      <c r="Q15" s="58"/>
      <c r="R15" s="44">
        <f>P15*Q15</f>
        <v>0</v>
      </c>
      <c r="S15" s="4" t="s">
        <v>358</v>
      </c>
      <c r="T15" s="4"/>
      <c r="U15" s="4"/>
      <c r="V15" s="4"/>
      <c r="W15" s="4"/>
      <c r="X15" s="4"/>
      <c r="Y15" s="4"/>
      <c r="Z15" s="4"/>
      <c r="AA15" s="4"/>
      <c r="AB15" s="157" t="s">
        <v>440</v>
      </c>
      <c r="AC15" s="159" t="s">
        <v>343</v>
      </c>
      <c r="AD15" s="160"/>
      <c r="AE15" s="161"/>
      <c r="AF15" s="163">
        <f>AG15+AH15+AI15+AJ15</f>
        <v>114380783.28</v>
      </c>
      <c r="AG15" s="163">
        <f>SUM(AA48:AA51)</f>
        <v>114380783.28</v>
      </c>
      <c r="AH15" s="168"/>
      <c r="AI15" s="163"/>
      <c r="AJ15" s="168"/>
    </row>
    <row r="16" spans="1:36" ht="12.75">
      <c r="A16" s="55" t="s">
        <v>348</v>
      </c>
      <c r="B16" s="10"/>
      <c r="C16" s="71"/>
      <c r="D16" s="22">
        <v>3600</v>
      </c>
      <c r="E16" s="8">
        <f>Лист4!E16</f>
        <v>4231.7602</v>
      </c>
      <c r="F16" s="8">
        <f>Лист13!F16</f>
        <v>36000</v>
      </c>
      <c r="G16" s="8">
        <f t="shared" si="0"/>
        <v>31768.2398</v>
      </c>
      <c r="H16" s="1"/>
      <c r="I16" s="35">
        <f>D16*G16</f>
        <v>114365663.28</v>
      </c>
      <c r="J16" s="12" t="s">
        <v>44</v>
      </c>
      <c r="K16" s="23"/>
      <c r="L16" s="23"/>
      <c r="M16" s="23"/>
      <c r="N16" s="23"/>
      <c r="O16" s="13"/>
      <c r="P16" s="34"/>
      <c r="Q16" s="59"/>
      <c r="R16" s="44"/>
      <c r="S16" s="4" t="s">
        <v>458</v>
      </c>
      <c r="T16" s="4"/>
      <c r="U16" s="4"/>
      <c r="V16" s="4"/>
      <c r="W16" s="4"/>
      <c r="X16" s="4"/>
      <c r="Y16" s="4"/>
      <c r="Z16" s="4"/>
      <c r="AA16" s="4"/>
      <c r="AB16" s="157" t="s">
        <v>441</v>
      </c>
      <c r="AC16" s="159" t="s">
        <v>344</v>
      </c>
      <c r="AD16" s="160"/>
      <c r="AE16" s="161"/>
      <c r="AF16" s="163">
        <f>AG16+AH16+AI16+AJ16</f>
        <v>240</v>
      </c>
      <c r="AG16" s="168"/>
      <c r="AH16" s="168"/>
      <c r="AI16" s="163">
        <f>AA52+AA53</f>
        <v>240</v>
      </c>
      <c r="AJ16" s="168"/>
    </row>
    <row r="17" spans="1:36" ht="12.75">
      <c r="A17" s="78" t="s">
        <v>349</v>
      </c>
      <c r="B17" s="85"/>
      <c r="C17" s="128" t="s">
        <v>54</v>
      </c>
      <c r="D17" s="22">
        <v>3600</v>
      </c>
      <c r="E17" s="8">
        <v>292.5</v>
      </c>
      <c r="F17" s="8">
        <v>294.5</v>
      </c>
      <c r="G17" s="8">
        <f t="shared" si="0"/>
        <v>2</v>
      </c>
      <c r="H17" s="1"/>
      <c r="I17" s="35">
        <f>D17*G17</f>
        <v>7200</v>
      </c>
      <c r="J17" s="12" t="s">
        <v>381</v>
      </c>
      <c r="K17" s="23"/>
      <c r="L17" s="23"/>
      <c r="M17" s="23"/>
      <c r="N17" s="23"/>
      <c r="O17" s="13"/>
      <c r="P17" s="34">
        <f>I45+I46</f>
        <v>6846.6232</v>
      </c>
      <c r="Q17" s="59">
        <v>0.831</v>
      </c>
      <c r="R17" s="44">
        <f>P17*Q17</f>
        <v>5689.5438791999995</v>
      </c>
      <c r="S17" s="4" t="s">
        <v>459</v>
      </c>
      <c r="T17" s="4"/>
      <c r="U17" s="4"/>
      <c r="V17" s="4"/>
      <c r="W17" s="4"/>
      <c r="X17" s="4"/>
      <c r="Y17" s="4"/>
      <c r="Z17" s="4"/>
      <c r="AA17" s="4"/>
      <c r="AB17" s="158" t="s">
        <v>442</v>
      </c>
      <c r="AC17" s="103" t="s">
        <v>345</v>
      </c>
      <c r="AD17" s="148"/>
      <c r="AE17" s="149"/>
      <c r="AF17" s="164" t="e">
        <f>AG17+AH17+AI17+AJ17</f>
        <v>#REF!</v>
      </c>
      <c r="AG17" s="169"/>
      <c r="AH17" s="169"/>
      <c r="AI17" s="164" t="e">
        <f>AA54+AA55</f>
        <v>#REF!</v>
      </c>
      <c r="AJ17" s="169"/>
    </row>
    <row r="18" spans="1:36" ht="12.75">
      <c r="A18" s="53" t="s">
        <v>350</v>
      </c>
      <c r="B18" s="54"/>
      <c r="C18" s="72"/>
      <c r="D18" s="22">
        <v>3600</v>
      </c>
      <c r="E18" s="8">
        <v>335.6</v>
      </c>
      <c r="F18" s="8">
        <v>337.8</v>
      </c>
      <c r="G18" s="8">
        <f t="shared" si="0"/>
        <v>2.1999999999999886</v>
      </c>
      <c r="H18" s="1"/>
      <c r="I18" s="35">
        <f>D18*G18</f>
        <v>7919.999999999959</v>
      </c>
      <c r="J18" s="12"/>
      <c r="K18" s="23"/>
      <c r="L18" s="23"/>
      <c r="M18" s="23"/>
      <c r="N18" s="23"/>
      <c r="O18" s="13"/>
      <c r="P18" s="34"/>
      <c r="Q18" s="59"/>
      <c r="R18" s="44"/>
      <c r="S18" s="4"/>
      <c r="T18" s="4"/>
      <c r="U18" s="4"/>
      <c r="V18" s="4"/>
      <c r="W18" s="4"/>
      <c r="X18" s="4"/>
      <c r="Y18" s="4"/>
      <c r="Z18" s="4"/>
      <c r="AA18" s="4"/>
      <c r="AB18" s="170">
        <v>3</v>
      </c>
      <c r="AC18" s="145" t="s">
        <v>443</v>
      </c>
      <c r="AD18" s="146"/>
      <c r="AE18" s="147"/>
      <c r="AF18" s="171"/>
      <c r="AG18" s="165"/>
      <c r="AH18" s="165"/>
      <c r="AI18" s="171"/>
      <c r="AJ18" s="171"/>
    </row>
    <row r="19" spans="10:36" ht="12.75">
      <c r="J19" s="12" t="s">
        <v>382</v>
      </c>
      <c r="K19" s="23"/>
      <c r="L19" s="23"/>
      <c r="M19" s="23"/>
      <c r="N19" s="23"/>
      <c r="O19" s="13"/>
      <c r="P19" s="34">
        <f>I42+I43</f>
        <v>-128777.716</v>
      </c>
      <c r="Q19" s="59">
        <v>0.831</v>
      </c>
      <c r="R19" s="39">
        <f>P19*Q19</f>
        <v>-107014.28199599999</v>
      </c>
      <c r="S19" s="12" t="s">
        <v>373</v>
      </c>
      <c r="T19" s="23"/>
      <c r="U19" s="13"/>
      <c r="V19" s="18" t="s">
        <v>402</v>
      </c>
      <c r="W19" s="21" t="s">
        <v>376</v>
      </c>
      <c r="X19" s="22"/>
      <c r="Y19" s="18" t="s">
        <v>377</v>
      </c>
      <c r="Z19" s="12" t="s">
        <v>378</v>
      </c>
      <c r="AA19" s="23"/>
      <c r="AB19" s="157" t="s">
        <v>444</v>
      </c>
      <c r="AC19" s="159" t="s">
        <v>445</v>
      </c>
      <c r="AD19" s="160"/>
      <c r="AE19" s="161"/>
      <c r="AF19" s="163">
        <f>AG19+AH19+AI19+AJ19</f>
        <v>0</v>
      </c>
      <c r="AG19" s="168"/>
      <c r="AH19" s="166"/>
      <c r="AI19" s="163">
        <f>AA58+AA59</f>
        <v>0</v>
      </c>
      <c r="AJ19" s="168"/>
    </row>
    <row r="20" spans="10:36" ht="12.75">
      <c r="J20" s="32" t="s">
        <v>22</v>
      </c>
      <c r="K20" s="28"/>
      <c r="L20" s="28"/>
      <c r="M20" s="28"/>
      <c r="N20" s="23"/>
      <c r="O20" s="13"/>
      <c r="P20" s="34" t="e">
        <f>SUM(P22:P23)</f>
        <v>#REF!</v>
      </c>
      <c r="Q20" s="38"/>
      <c r="R20" s="45" t="e">
        <f>SUM(R22:R23)</f>
        <v>#REF!</v>
      </c>
      <c r="S20" s="16" t="s">
        <v>374</v>
      </c>
      <c r="T20" s="11"/>
      <c r="U20" s="17"/>
      <c r="V20" s="19" t="s">
        <v>375</v>
      </c>
      <c r="W20" s="18" t="s">
        <v>78</v>
      </c>
      <c r="X20" s="18" t="s">
        <v>77</v>
      </c>
      <c r="Y20" s="19" t="s">
        <v>384</v>
      </c>
      <c r="Z20" s="16" t="s">
        <v>379</v>
      </c>
      <c r="AA20" s="11"/>
      <c r="AB20" s="158" t="s">
        <v>446</v>
      </c>
      <c r="AC20" s="103" t="s">
        <v>84</v>
      </c>
      <c r="AD20" s="148"/>
      <c r="AE20" s="149"/>
      <c r="AF20" s="164">
        <f>AG20+AH20+AI20+AJ20</f>
        <v>1280</v>
      </c>
      <c r="AG20" s="169"/>
      <c r="AH20" s="167"/>
      <c r="AI20" s="164">
        <f>AA60+AA61</f>
        <v>1280</v>
      </c>
      <c r="AJ20" s="169"/>
    </row>
    <row r="21" spans="1:36" ht="12.75">
      <c r="A21" s="78" t="s">
        <v>328</v>
      </c>
      <c r="B21" s="85"/>
      <c r="C21" s="70" t="s">
        <v>412</v>
      </c>
      <c r="D21" s="22">
        <v>40</v>
      </c>
      <c r="E21" s="8">
        <f>Лист1!E18</f>
        <v>0</v>
      </c>
      <c r="F21" s="8">
        <f>Лист13!F21</f>
        <v>0</v>
      </c>
      <c r="G21" s="8">
        <f aca="true" t="shared" si="1" ref="G21:G26">F21-E21</f>
        <v>0</v>
      </c>
      <c r="H21" s="1"/>
      <c r="I21" s="35">
        <f aca="true" t="shared" si="2" ref="I21:I26">D21*G21</f>
        <v>0</v>
      </c>
      <c r="J21" s="12" t="s">
        <v>23</v>
      </c>
      <c r="K21" s="23"/>
      <c r="L21" s="23"/>
      <c r="M21" s="23"/>
      <c r="N21" s="23"/>
      <c r="O21" s="13"/>
      <c r="P21" s="34"/>
      <c r="Q21" s="38"/>
      <c r="R21" s="39"/>
      <c r="S21" s="14"/>
      <c r="T21" s="9"/>
      <c r="U21" s="15"/>
      <c r="V21" s="20"/>
      <c r="W21" s="27" t="s">
        <v>15</v>
      </c>
      <c r="X21" s="27" t="s">
        <v>16</v>
      </c>
      <c r="Y21" s="20"/>
      <c r="Z21" s="14" t="s">
        <v>363</v>
      </c>
      <c r="AA21" s="15"/>
      <c r="AB21" s="153"/>
      <c r="AC21" s="120"/>
      <c r="AD21" s="120"/>
      <c r="AE21" s="120"/>
      <c r="AF21" s="154"/>
      <c r="AG21" s="154"/>
      <c r="AH21" s="154"/>
      <c r="AI21" s="154"/>
      <c r="AJ21" s="154"/>
    </row>
    <row r="22" spans="1:36" ht="12.75">
      <c r="A22" s="79" t="s">
        <v>329</v>
      </c>
      <c r="B22" s="116"/>
      <c r="C22" s="126"/>
      <c r="D22" s="22">
        <v>40</v>
      </c>
      <c r="E22" s="8">
        <f>Лист1!E19</f>
        <v>0</v>
      </c>
      <c r="F22" s="8">
        <f>Лист13!F22</f>
        <v>0</v>
      </c>
      <c r="G22" s="8">
        <f t="shared" si="1"/>
        <v>0</v>
      </c>
      <c r="H22" s="1"/>
      <c r="I22" s="35">
        <f t="shared" si="2"/>
        <v>0</v>
      </c>
      <c r="J22" s="12" t="s">
        <v>117</v>
      </c>
      <c r="K22" s="23"/>
      <c r="L22" s="23"/>
      <c r="M22" s="23"/>
      <c r="N22" s="23"/>
      <c r="O22" s="13"/>
      <c r="P22" s="34" t="e">
        <f>SUM(I19:I37)-SUM(I42:I48)+I12+I13+I14</f>
        <v>#REF!</v>
      </c>
      <c r="Q22" s="58">
        <v>0.002</v>
      </c>
      <c r="R22" s="44" t="e">
        <f>P22*Q22</f>
        <v>#REF!</v>
      </c>
      <c r="S22" s="32" t="s">
        <v>371</v>
      </c>
      <c r="T22" s="28"/>
      <c r="U22" s="28"/>
      <c r="V22" s="28"/>
      <c r="W22" s="28"/>
      <c r="X22" s="28"/>
      <c r="Y22" s="28"/>
      <c r="Z22" s="28"/>
      <c r="AA22" s="63"/>
      <c r="AB22" s="153"/>
      <c r="AC22" s="120" t="s">
        <v>448</v>
      </c>
      <c r="AD22" s="120"/>
      <c r="AE22" s="120"/>
      <c r="AF22" s="154"/>
      <c r="AG22" s="154"/>
      <c r="AH22" s="154"/>
      <c r="AI22" s="154"/>
      <c r="AJ22" s="154"/>
    </row>
    <row r="23" spans="1:36" ht="12.75">
      <c r="A23" s="94" t="s">
        <v>115</v>
      </c>
      <c r="B23" s="11"/>
      <c r="C23" s="127">
        <v>54545702413</v>
      </c>
      <c r="D23" s="22">
        <v>20</v>
      </c>
      <c r="E23" s="8" t="e">
        <f>Лист1!#REF!</f>
        <v>#REF!</v>
      </c>
      <c r="F23" s="8">
        <f>Лист13!F23</f>
        <v>0</v>
      </c>
      <c r="G23" s="8" t="e">
        <f t="shared" si="1"/>
        <v>#REF!</v>
      </c>
      <c r="H23" s="1"/>
      <c r="I23" s="35" t="e">
        <f t="shared" si="2"/>
        <v>#REF!</v>
      </c>
      <c r="J23" s="14" t="s">
        <v>118</v>
      </c>
      <c r="K23" s="9"/>
      <c r="L23" s="9"/>
      <c r="M23" s="9"/>
      <c r="N23" s="9"/>
      <c r="O23" s="15"/>
      <c r="P23" s="34" t="e">
        <f>I9</f>
        <v>#VALUE!</v>
      </c>
      <c r="Q23" s="58">
        <v>0.009</v>
      </c>
      <c r="R23" s="44" t="e">
        <f>P23*Q23</f>
        <v>#VALUE!</v>
      </c>
      <c r="S23" s="21" t="s">
        <v>380</v>
      </c>
      <c r="T23" s="24"/>
      <c r="U23" s="22"/>
      <c r="V23" s="97" t="s">
        <v>306</v>
      </c>
      <c r="W23" s="8" t="str">
        <f>F9</f>
        <v>телефон: (343) 372-13-55</v>
      </c>
      <c r="X23" s="8">
        <f>E9</f>
        <v>0</v>
      </c>
      <c r="Y23" s="1">
        <v>21000</v>
      </c>
      <c r="Z23" s="21"/>
      <c r="AA23" s="34" t="e">
        <f aca="true" t="shared" si="3" ref="AA23:AA34">(W23-X23)*Y23</f>
        <v>#VALUE!</v>
      </c>
      <c r="AB23" s="153"/>
      <c r="AC23" s="120" t="s">
        <v>449</v>
      </c>
      <c r="AD23" s="120"/>
      <c r="AE23" s="120"/>
      <c r="AF23" s="120"/>
      <c r="AG23" s="120"/>
      <c r="AH23" s="120"/>
      <c r="AI23" s="120"/>
      <c r="AJ23" s="120"/>
    </row>
    <row r="24" spans="1:36" ht="12.75">
      <c r="A24" s="95" t="s">
        <v>116</v>
      </c>
      <c r="B24" s="9"/>
      <c r="C24" s="126">
        <v>54545702413</v>
      </c>
      <c r="D24" s="22">
        <v>20</v>
      </c>
      <c r="E24" s="8">
        <f>Лист1!E20</f>
        <v>17872.7368</v>
      </c>
      <c r="F24" s="8">
        <f>Лист13!F24</f>
        <v>0</v>
      </c>
      <c r="G24" s="8">
        <f t="shared" si="1"/>
        <v>-17872.7368</v>
      </c>
      <c r="H24" s="1"/>
      <c r="I24" s="35">
        <f t="shared" si="2"/>
        <v>-357454.736</v>
      </c>
      <c r="J24" s="16" t="s">
        <v>119</v>
      </c>
      <c r="K24" s="11"/>
      <c r="L24" s="11"/>
      <c r="M24" s="11"/>
      <c r="N24" s="11"/>
      <c r="O24" s="17"/>
      <c r="P24" s="43">
        <v>51.1</v>
      </c>
      <c r="Q24" s="183">
        <v>8079</v>
      </c>
      <c r="R24" s="44">
        <f>P24*Q24</f>
        <v>412836.9</v>
      </c>
      <c r="S24" s="21" t="s">
        <v>74</v>
      </c>
      <c r="T24" s="24"/>
      <c r="U24" s="22"/>
      <c r="V24" s="97" t="s">
        <v>307</v>
      </c>
      <c r="W24" s="8" t="str">
        <f>F12</f>
        <v>мации</v>
      </c>
      <c r="X24" s="8">
        <f>E12</f>
        <v>5</v>
      </c>
      <c r="Y24" s="1">
        <v>1800</v>
      </c>
      <c r="Z24" s="12"/>
      <c r="AA24" s="34" t="e">
        <f t="shared" si="3"/>
        <v>#VALUE!</v>
      </c>
      <c r="AB24" s="120"/>
      <c r="AC24" s="120"/>
      <c r="AD24" s="120"/>
      <c r="AE24" s="120"/>
      <c r="AF24" s="120"/>
      <c r="AG24" s="120"/>
      <c r="AH24" s="120"/>
      <c r="AI24" s="120"/>
      <c r="AJ24" s="120"/>
    </row>
    <row r="25" spans="1:36" ht="12.75">
      <c r="A25" s="94" t="s">
        <v>19</v>
      </c>
      <c r="B25" s="17"/>
      <c r="C25" s="73">
        <v>165138</v>
      </c>
      <c r="D25" s="1">
        <v>40</v>
      </c>
      <c r="E25" s="8">
        <v>3902</v>
      </c>
      <c r="F25" s="8">
        <v>3934</v>
      </c>
      <c r="G25" s="8">
        <f t="shared" si="1"/>
        <v>32</v>
      </c>
      <c r="H25" s="1"/>
      <c r="I25" s="35">
        <f t="shared" si="2"/>
        <v>1280</v>
      </c>
      <c r="J25" s="12" t="s">
        <v>120</v>
      </c>
      <c r="K25" s="23"/>
      <c r="L25" s="23"/>
      <c r="M25" s="23"/>
      <c r="N25" s="23"/>
      <c r="O25" s="13"/>
      <c r="P25" s="184">
        <v>10.335</v>
      </c>
      <c r="Q25" s="183">
        <v>17701</v>
      </c>
      <c r="R25" s="44">
        <f>P25*Q25</f>
        <v>182939.83500000002</v>
      </c>
      <c r="S25" s="21" t="s">
        <v>49</v>
      </c>
      <c r="T25" s="24"/>
      <c r="U25" s="22"/>
      <c r="V25" s="1">
        <v>205071</v>
      </c>
      <c r="W25" s="8">
        <f aca="true" t="shared" si="4" ref="W25:W34">F28</f>
        <v>0</v>
      </c>
      <c r="X25" s="8">
        <f aca="true" t="shared" si="5" ref="X25:X34">E28</f>
        <v>0</v>
      </c>
      <c r="Y25" s="21">
        <v>1800</v>
      </c>
      <c r="Z25" s="21"/>
      <c r="AA25" s="34">
        <f t="shared" si="3"/>
        <v>0</v>
      </c>
      <c r="AB25" s="120"/>
      <c r="AC25" s="120"/>
      <c r="AD25" s="120"/>
      <c r="AE25" s="120"/>
      <c r="AF25" s="120"/>
      <c r="AG25" s="120"/>
      <c r="AH25" s="120"/>
      <c r="AI25" s="120"/>
      <c r="AJ25" s="120"/>
    </row>
    <row r="26" spans="1:36" ht="12.75">
      <c r="A26" s="79" t="s">
        <v>20</v>
      </c>
      <c r="B26" s="15"/>
      <c r="C26" s="74">
        <v>62215</v>
      </c>
      <c r="D26" s="1">
        <v>40</v>
      </c>
      <c r="E26" s="8">
        <v>0.7</v>
      </c>
      <c r="F26" s="8">
        <v>0.7</v>
      </c>
      <c r="G26" s="8">
        <f t="shared" si="1"/>
        <v>0</v>
      </c>
      <c r="H26" s="1"/>
      <c r="I26" s="35">
        <f t="shared" si="2"/>
        <v>0</v>
      </c>
      <c r="J26" s="12"/>
      <c r="K26" s="23"/>
      <c r="L26" s="23"/>
      <c r="M26" s="23"/>
      <c r="N26" s="23"/>
      <c r="O26" s="13"/>
      <c r="P26" s="34"/>
      <c r="Q26" s="38"/>
      <c r="R26" s="44"/>
      <c r="S26" s="21" t="s">
        <v>48</v>
      </c>
      <c r="T26" s="24"/>
      <c r="U26" s="22"/>
      <c r="V26" s="18">
        <v>205000</v>
      </c>
      <c r="W26" s="84">
        <f t="shared" si="4"/>
        <v>1800</v>
      </c>
      <c r="X26" s="84">
        <f t="shared" si="5"/>
        <v>0</v>
      </c>
      <c r="Y26" s="21">
        <v>1800</v>
      </c>
      <c r="Z26" s="14"/>
      <c r="AA26" s="33">
        <f t="shared" si="3"/>
        <v>3240000</v>
      </c>
      <c r="AB26" s="120" t="s">
        <v>447</v>
      </c>
      <c r="AC26" s="120"/>
      <c r="AD26" s="120"/>
      <c r="AE26" s="120"/>
      <c r="AF26" s="120"/>
      <c r="AG26" s="120" t="s">
        <v>450</v>
      </c>
      <c r="AH26" s="120"/>
      <c r="AI26" s="120" t="s">
        <v>451</v>
      </c>
      <c r="AJ26" s="120"/>
    </row>
    <row r="27" spans="1:36" ht="12.75">
      <c r="A27" s="5" t="s">
        <v>295</v>
      </c>
      <c r="B27" s="1"/>
      <c r="C27" s="1"/>
      <c r="D27" s="1"/>
      <c r="E27" s="1"/>
      <c r="F27" s="1"/>
      <c r="G27" s="1"/>
      <c r="H27" s="1"/>
      <c r="I27" s="47"/>
      <c r="J27" s="12"/>
      <c r="K27" s="23"/>
      <c r="L27" s="23"/>
      <c r="M27" s="23"/>
      <c r="N27" s="23"/>
      <c r="O27" s="13"/>
      <c r="P27" s="34"/>
      <c r="Q27" s="58"/>
      <c r="R27" s="44"/>
      <c r="S27" s="21" t="s">
        <v>47</v>
      </c>
      <c r="T27" s="24"/>
      <c r="U27" s="22"/>
      <c r="V27" s="96">
        <v>205063</v>
      </c>
      <c r="W27" s="98">
        <f t="shared" si="4"/>
        <v>0</v>
      </c>
      <c r="X27" s="98">
        <f t="shared" si="5"/>
        <v>20491.4856</v>
      </c>
      <c r="Y27" s="102">
        <v>4800</v>
      </c>
      <c r="Z27" s="103"/>
      <c r="AA27" s="33">
        <f t="shared" si="3"/>
        <v>-98359130.88</v>
      </c>
      <c r="AB27" s="120"/>
      <c r="AC27" s="120"/>
      <c r="AD27" s="120"/>
      <c r="AE27" s="120"/>
      <c r="AF27" s="120"/>
      <c r="AG27" s="120"/>
      <c r="AH27" s="120"/>
      <c r="AI27" s="120"/>
      <c r="AJ27" s="120"/>
    </row>
    <row r="28" spans="1:36" ht="12.75">
      <c r="A28" s="1" t="s">
        <v>435</v>
      </c>
      <c r="B28" s="1"/>
      <c r="C28" s="75">
        <v>205071</v>
      </c>
      <c r="D28" s="1">
        <v>1800</v>
      </c>
      <c r="E28" s="8">
        <f>Лист1!E24</f>
        <v>0</v>
      </c>
      <c r="F28" s="8">
        <f>Лист13!F28</f>
        <v>0</v>
      </c>
      <c r="G28" s="8">
        <f aca="true" t="shared" si="6" ref="G28:G37">F28-E28</f>
        <v>0</v>
      </c>
      <c r="H28" s="1"/>
      <c r="I28" s="47">
        <f aca="true" t="shared" si="7" ref="I28:I37">D28*G28</f>
        <v>0</v>
      </c>
      <c r="J28" s="12"/>
      <c r="K28" s="23"/>
      <c r="L28" s="23"/>
      <c r="M28" s="23"/>
      <c r="N28" s="23"/>
      <c r="O28" s="13"/>
      <c r="P28" s="34"/>
      <c r="Q28" s="58"/>
      <c r="R28" s="44"/>
      <c r="S28" s="21" t="s">
        <v>51</v>
      </c>
      <c r="T28" s="24"/>
      <c r="U28" s="22"/>
      <c r="V28" s="1">
        <v>205065</v>
      </c>
      <c r="W28" s="8">
        <f t="shared" si="4"/>
        <v>4800</v>
      </c>
      <c r="X28" s="8">
        <f t="shared" si="5"/>
        <v>8796.5206</v>
      </c>
      <c r="Y28" s="21">
        <v>4800</v>
      </c>
      <c r="Z28" s="14"/>
      <c r="AA28" s="33">
        <f t="shared" si="3"/>
        <v>-19183298.88</v>
      </c>
      <c r="AB28" s="120"/>
      <c r="AC28" s="120"/>
      <c r="AD28" s="120"/>
      <c r="AE28" s="120"/>
      <c r="AF28" s="120"/>
      <c r="AG28" s="120"/>
      <c r="AH28" s="120"/>
      <c r="AI28" s="120"/>
      <c r="AJ28" s="120"/>
    </row>
    <row r="29" spans="1:36" ht="12.75">
      <c r="A29" s="1" t="s">
        <v>436</v>
      </c>
      <c r="B29" s="1"/>
      <c r="C29" s="75">
        <v>205000</v>
      </c>
      <c r="D29" s="1">
        <v>1800</v>
      </c>
      <c r="E29" s="8">
        <f>Лист1!E25</f>
        <v>0</v>
      </c>
      <c r="F29" s="8">
        <f>Лист13!F29</f>
        <v>1800</v>
      </c>
      <c r="G29" s="8">
        <f t="shared" si="6"/>
        <v>1800</v>
      </c>
      <c r="H29" s="1"/>
      <c r="I29" s="35">
        <f t="shared" si="7"/>
        <v>3240000</v>
      </c>
      <c r="J29" s="12"/>
      <c r="K29" s="23"/>
      <c r="L29" s="23"/>
      <c r="M29" s="23"/>
      <c r="N29" s="23"/>
      <c r="O29" s="13"/>
      <c r="P29" s="34"/>
      <c r="Q29" s="58"/>
      <c r="R29" s="44"/>
      <c r="S29" s="21" t="s">
        <v>50</v>
      </c>
      <c r="T29" s="24"/>
      <c r="U29" s="22"/>
      <c r="V29" s="1">
        <v>204946</v>
      </c>
      <c r="W29" s="8">
        <f t="shared" si="4"/>
        <v>0</v>
      </c>
      <c r="X29" s="8">
        <f t="shared" si="5"/>
        <v>0</v>
      </c>
      <c r="Y29" s="21">
        <v>2400</v>
      </c>
      <c r="Z29" s="14"/>
      <c r="AA29" s="33">
        <f t="shared" si="3"/>
        <v>0</v>
      </c>
      <c r="AB29" s="120"/>
      <c r="AC29" s="120"/>
      <c r="AD29" s="120"/>
      <c r="AE29" s="120"/>
      <c r="AF29" s="120"/>
      <c r="AG29" s="120"/>
      <c r="AH29" s="120"/>
      <c r="AI29" s="120"/>
      <c r="AJ29" s="120"/>
    </row>
    <row r="30" spans="1:36" ht="12.75">
      <c r="A30" s="1" t="s">
        <v>438</v>
      </c>
      <c r="B30" s="1"/>
      <c r="C30" s="75">
        <v>205063</v>
      </c>
      <c r="D30" s="1">
        <v>4800</v>
      </c>
      <c r="E30" s="8">
        <f>Лист1!E26</f>
        <v>20491.4856</v>
      </c>
      <c r="F30" s="8">
        <f>Лист13!F30</f>
        <v>0</v>
      </c>
      <c r="G30" s="1">
        <f t="shared" si="6"/>
        <v>-20491.4856</v>
      </c>
      <c r="H30" s="1"/>
      <c r="I30" s="35">
        <f t="shared" si="7"/>
        <v>-98359130.88</v>
      </c>
      <c r="J30" s="12" t="s">
        <v>432</v>
      </c>
      <c r="K30" s="23"/>
      <c r="L30" s="23"/>
      <c r="M30" s="23"/>
      <c r="N30" s="23"/>
      <c r="O30" s="13"/>
      <c r="P30" s="34"/>
      <c r="Q30" s="59"/>
      <c r="R30" s="39"/>
      <c r="S30" s="21" t="s">
        <v>46</v>
      </c>
      <c r="T30" s="24"/>
      <c r="U30" s="22"/>
      <c r="V30" s="1">
        <v>204938</v>
      </c>
      <c r="W30" s="8">
        <f t="shared" si="4"/>
        <v>4800</v>
      </c>
      <c r="X30" s="1">
        <f t="shared" si="5"/>
        <v>9407.2909</v>
      </c>
      <c r="Y30" s="21">
        <v>1800</v>
      </c>
      <c r="Z30" s="14"/>
      <c r="AA30" s="33">
        <f t="shared" si="3"/>
        <v>-8293123.62</v>
      </c>
      <c r="AB30" s="120"/>
      <c r="AC30" s="120"/>
      <c r="AD30" s="120"/>
      <c r="AE30" s="120"/>
      <c r="AF30" s="120"/>
      <c r="AG30" s="120"/>
      <c r="AH30" s="120"/>
      <c r="AI30" s="120"/>
      <c r="AJ30" s="120"/>
    </row>
    <row r="31" spans="1:36" ht="12.75">
      <c r="A31" s="1" t="s">
        <v>439</v>
      </c>
      <c r="B31" s="1"/>
      <c r="C31" s="75">
        <v>205065</v>
      </c>
      <c r="D31" s="1">
        <v>4800</v>
      </c>
      <c r="E31" s="8">
        <f>Лист1!E27</f>
        <v>8796.5206</v>
      </c>
      <c r="F31" s="8">
        <f>Лист13!F31</f>
        <v>4800</v>
      </c>
      <c r="G31" s="8">
        <f t="shared" si="6"/>
        <v>-3996.5206</v>
      </c>
      <c r="H31" s="1"/>
      <c r="I31" s="35">
        <f t="shared" si="7"/>
        <v>-19183298.88</v>
      </c>
      <c r="J31" s="12" t="s">
        <v>430</v>
      </c>
      <c r="K31" s="23"/>
      <c r="L31" s="23"/>
      <c r="M31" s="23"/>
      <c r="N31" s="23"/>
      <c r="O31" s="13"/>
      <c r="P31" s="34"/>
      <c r="Q31" s="58"/>
      <c r="R31" s="39"/>
      <c r="S31" s="21" t="s">
        <v>52</v>
      </c>
      <c r="T31" s="24"/>
      <c r="U31" s="22"/>
      <c r="V31" s="1">
        <v>204959</v>
      </c>
      <c r="W31" s="8">
        <f t="shared" si="4"/>
        <v>0</v>
      </c>
      <c r="X31" s="8">
        <f t="shared" si="5"/>
        <v>0</v>
      </c>
      <c r="Y31" s="21">
        <v>1800</v>
      </c>
      <c r="Z31" s="14"/>
      <c r="AA31" s="33">
        <f t="shared" si="3"/>
        <v>0</v>
      </c>
      <c r="AB31" s="120"/>
      <c r="AC31" s="120"/>
      <c r="AD31" s="120"/>
      <c r="AE31" s="120"/>
      <c r="AF31" s="120"/>
      <c r="AG31" s="120"/>
      <c r="AH31" s="120"/>
      <c r="AI31" s="120"/>
      <c r="AJ31" s="120"/>
    </row>
    <row r="32" spans="1:36" ht="12.75">
      <c r="A32" s="1" t="s">
        <v>453</v>
      </c>
      <c r="B32" s="1"/>
      <c r="C32" s="75">
        <v>204946</v>
      </c>
      <c r="D32" s="1">
        <v>2400</v>
      </c>
      <c r="E32" s="8">
        <f>Лист1!E28</f>
        <v>0</v>
      </c>
      <c r="F32" s="8">
        <f>Лист13!F32</f>
        <v>0</v>
      </c>
      <c r="G32" s="8">
        <f t="shared" si="6"/>
        <v>0</v>
      </c>
      <c r="H32" s="1"/>
      <c r="I32" s="35">
        <f t="shared" si="7"/>
        <v>0</v>
      </c>
      <c r="J32" s="12" t="s">
        <v>437</v>
      </c>
      <c r="K32" s="23"/>
      <c r="L32" s="23"/>
      <c r="M32" s="23"/>
      <c r="N32" s="23"/>
      <c r="O32" s="13"/>
      <c r="P32" s="34"/>
      <c r="Q32" s="38"/>
      <c r="R32" s="39"/>
      <c r="S32" s="21" t="s">
        <v>55</v>
      </c>
      <c r="T32" s="24"/>
      <c r="U32" s="22"/>
      <c r="V32" s="1">
        <v>205066</v>
      </c>
      <c r="W32" s="8">
        <f t="shared" si="4"/>
        <v>2400</v>
      </c>
      <c r="X32" s="8">
        <f t="shared" si="5"/>
        <v>2587.305</v>
      </c>
      <c r="Y32" s="21">
        <v>1800</v>
      </c>
      <c r="Z32" s="14"/>
      <c r="AA32" s="33">
        <f t="shared" si="3"/>
        <v>-337148.9999999997</v>
      </c>
      <c r="AB32" s="120" t="s">
        <v>452</v>
      </c>
      <c r="AC32" s="120"/>
      <c r="AD32" s="120"/>
      <c r="AE32" s="120"/>
      <c r="AF32" s="120"/>
      <c r="AG32" s="120" t="s">
        <v>450</v>
      </c>
      <c r="AH32" s="120"/>
      <c r="AI32" s="120"/>
      <c r="AJ32" s="120"/>
    </row>
    <row r="33" spans="1:36" ht="12.75">
      <c r="A33" s="1" t="s">
        <v>454</v>
      </c>
      <c r="B33" s="1"/>
      <c r="C33" s="75">
        <v>204938</v>
      </c>
      <c r="D33" s="1">
        <v>1800</v>
      </c>
      <c r="E33" s="8">
        <f>Лист1!E29</f>
        <v>9407.2909</v>
      </c>
      <c r="F33" s="8">
        <f>Лист13!F33</f>
        <v>4800</v>
      </c>
      <c r="G33" s="1">
        <f t="shared" si="6"/>
        <v>-4607.2909</v>
      </c>
      <c r="H33" s="1"/>
      <c r="I33" s="35">
        <f t="shared" si="7"/>
        <v>-8293123.62</v>
      </c>
      <c r="J33" s="12" t="s">
        <v>430</v>
      </c>
      <c r="K33" s="23"/>
      <c r="L33" s="23"/>
      <c r="M33" s="23"/>
      <c r="N33" s="23"/>
      <c r="O33" s="13"/>
      <c r="P33" s="34"/>
      <c r="Q33" s="38"/>
      <c r="R33" s="39"/>
      <c r="S33" s="21" t="s">
        <v>56</v>
      </c>
      <c r="T33" s="24"/>
      <c r="U33" s="22"/>
      <c r="V33" s="1">
        <v>205074</v>
      </c>
      <c r="W33" s="8">
        <f t="shared" si="4"/>
        <v>0</v>
      </c>
      <c r="X33" s="8">
        <f t="shared" si="5"/>
        <v>0</v>
      </c>
      <c r="Y33" s="21">
        <v>1800</v>
      </c>
      <c r="Z33" s="14"/>
      <c r="AA33" s="33">
        <f t="shared" si="3"/>
        <v>0</v>
      </c>
      <c r="AB33" s="120"/>
      <c r="AC33" s="120"/>
      <c r="AD33" s="120"/>
      <c r="AE33" s="120"/>
      <c r="AF33" s="120"/>
      <c r="AG33" s="120"/>
      <c r="AH33" s="120"/>
      <c r="AI33" s="120"/>
      <c r="AJ33" s="120"/>
    </row>
    <row r="34" spans="1:36" ht="12.75">
      <c r="A34" s="1" t="s">
        <v>455</v>
      </c>
      <c r="B34" s="1"/>
      <c r="C34" s="75">
        <v>204959</v>
      </c>
      <c r="D34" s="1">
        <v>1800</v>
      </c>
      <c r="E34" s="8">
        <f>Лист1!E30</f>
        <v>0</v>
      </c>
      <c r="F34" s="8">
        <f>Лист13!F34</f>
        <v>0</v>
      </c>
      <c r="G34" s="1">
        <f t="shared" si="6"/>
        <v>0</v>
      </c>
      <c r="H34" s="1"/>
      <c r="I34" s="35">
        <f t="shared" si="7"/>
        <v>0</v>
      </c>
      <c r="J34" s="12" t="s">
        <v>430</v>
      </c>
      <c r="K34" s="23"/>
      <c r="L34" s="23"/>
      <c r="M34" s="23"/>
      <c r="N34" s="23"/>
      <c r="O34" s="13"/>
      <c r="P34" s="34"/>
      <c r="Q34" s="38"/>
      <c r="R34" s="39"/>
      <c r="S34" s="21" t="s">
        <v>57</v>
      </c>
      <c r="T34" s="24"/>
      <c r="U34" s="22"/>
      <c r="V34" s="1">
        <v>205074</v>
      </c>
      <c r="W34" s="8">
        <f t="shared" si="4"/>
        <v>1800</v>
      </c>
      <c r="X34" s="8">
        <f t="shared" si="5"/>
        <v>2050.6882</v>
      </c>
      <c r="Y34" s="21">
        <v>40</v>
      </c>
      <c r="Z34" s="14"/>
      <c r="AA34" s="33">
        <f t="shared" si="3"/>
        <v>-10027.528000000002</v>
      </c>
      <c r="AB34" s="120"/>
      <c r="AC34" s="120"/>
      <c r="AD34" s="120"/>
      <c r="AE34" s="120"/>
      <c r="AF34" s="120"/>
      <c r="AG34" s="120"/>
      <c r="AH34" s="120"/>
      <c r="AI34" s="120"/>
      <c r="AJ34" s="120"/>
    </row>
    <row r="35" spans="1:36" ht="12.75">
      <c r="A35" s="1" t="s">
        <v>456</v>
      </c>
      <c r="B35" s="1"/>
      <c r="C35" s="75">
        <v>205066</v>
      </c>
      <c r="D35" s="1">
        <v>1800</v>
      </c>
      <c r="E35" s="8">
        <f>Лист1!E31</f>
        <v>2587.305</v>
      </c>
      <c r="F35" s="8">
        <f>Лист13!F35</f>
        <v>2400</v>
      </c>
      <c r="G35" s="1">
        <f t="shared" si="6"/>
        <v>-187.30499999999984</v>
      </c>
      <c r="H35" s="1"/>
      <c r="I35" s="35">
        <f t="shared" si="7"/>
        <v>-337148.9999999997</v>
      </c>
      <c r="J35" s="23" t="s">
        <v>323</v>
      </c>
      <c r="K35" s="23"/>
      <c r="L35" s="23"/>
      <c r="M35" s="23"/>
      <c r="N35" s="23"/>
      <c r="O35" s="13"/>
      <c r="P35" s="34"/>
      <c r="Q35" s="58"/>
      <c r="R35" s="39"/>
      <c r="S35" s="101"/>
      <c r="T35" s="101"/>
      <c r="U35" s="101"/>
      <c r="V35" s="101"/>
      <c r="W35" s="101"/>
      <c r="X35" s="101"/>
      <c r="Y35" s="101"/>
      <c r="Z35" s="3"/>
      <c r="AA35" s="3"/>
      <c r="AB35" s="120"/>
      <c r="AC35" s="120"/>
      <c r="AD35" s="120"/>
      <c r="AE35" s="120"/>
      <c r="AF35" s="120"/>
      <c r="AG35" s="120"/>
      <c r="AH35" s="120"/>
      <c r="AI35" s="120"/>
      <c r="AJ35" s="120"/>
    </row>
    <row r="36" spans="1:36" ht="12.75">
      <c r="A36" s="1" t="s">
        <v>457</v>
      </c>
      <c r="B36" s="1"/>
      <c r="C36" s="75">
        <v>205074</v>
      </c>
      <c r="D36" s="1">
        <v>1800</v>
      </c>
      <c r="E36" s="8">
        <f>Лист1!E32</f>
        <v>0</v>
      </c>
      <c r="F36" s="8">
        <f>Лист13!F36</f>
        <v>0</v>
      </c>
      <c r="G36" s="1">
        <f t="shared" si="6"/>
        <v>0</v>
      </c>
      <c r="H36" s="1"/>
      <c r="I36" s="35">
        <f t="shared" si="7"/>
        <v>0</v>
      </c>
      <c r="J36" s="12" t="s">
        <v>430</v>
      </c>
      <c r="K36" s="23"/>
      <c r="L36" s="23" t="s">
        <v>96</v>
      </c>
      <c r="M36" s="23"/>
      <c r="N36" s="23"/>
      <c r="O36" s="13"/>
      <c r="P36" s="34"/>
      <c r="Q36" s="38"/>
      <c r="R36" s="39"/>
      <c r="S36" s="5" t="s">
        <v>360</v>
      </c>
      <c r="T36" s="1"/>
      <c r="U36" s="1"/>
      <c r="V36" s="1"/>
      <c r="W36" s="1"/>
      <c r="X36" s="1"/>
      <c r="Y36" s="1"/>
      <c r="Z36" s="100"/>
      <c r="AA36" s="42" t="e">
        <f>SUM(AA23:AA34)</f>
        <v>#VALUE!</v>
      </c>
      <c r="AB36" s="120"/>
      <c r="AC36" s="120"/>
      <c r="AD36" s="120"/>
      <c r="AE36" s="120"/>
      <c r="AF36" s="120"/>
      <c r="AG36" s="120"/>
      <c r="AH36" s="120"/>
      <c r="AI36" s="120"/>
      <c r="AJ36" s="120"/>
    </row>
    <row r="37" spans="1:36" ht="12.75">
      <c r="A37" s="1" t="s">
        <v>76</v>
      </c>
      <c r="B37" s="1"/>
      <c r="C37" s="75">
        <v>11414</v>
      </c>
      <c r="D37" s="1">
        <v>40</v>
      </c>
      <c r="E37" s="8">
        <f>Лист1!E33</f>
        <v>2050.6882</v>
      </c>
      <c r="F37" s="8">
        <f>Лист13!F37</f>
        <v>1800</v>
      </c>
      <c r="G37" s="8">
        <f t="shared" si="6"/>
        <v>-250.68820000000005</v>
      </c>
      <c r="H37" s="1"/>
      <c r="I37" s="35">
        <f t="shared" si="7"/>
        <v>-10027.528000000002</v>
      </c>
      <c r="J37" s="12" t="s">
        <v>431</v>
      </c>
      <c r="K37" s="23"/>
      <c r="L37" s="23" t="s">
        <v>416</v>
      </c>
      <c r="M37" s="23"/>
      <c r="N37" s="23"/>
      <c r="O37" s="13"/>
      <c r="P37" s="34"/>
      <c r="Q37" s="38"/>
      <c r="R37" s="39"/>
      <c r="S37" s="78" t="s">
        <v>59</v>
      </c>
      <c r="T37" s="85"/>
      <c r="U37" s="12"/>
      <c r="V37" s="24"/>
      <c r="W37" s="83"/>
      <c r="X37" s="83"/>
      <c r="Y37" s="83"/>
      <c r="Z37" s="23"/>
      <c r="AA37" s="46"/>
      <c r="AB37" s="120"/>
      <c r="AC37" s="120"/>
      <c r="AD37" s="120"/>
      <c r="AE37" s="120"/>
      <c r="AF37" s="120"/>
      <c r="AG37" s="120"/>
      <c r="AH37" s="120"/>
      <c r="AI37" s="120"/>
      <c r="AJ37" s="120"/>
    </row>
    <row r="38" spans="1:36" ht="12.75">
      <c r="A38" s="62"/>
      <c r="B38" s="18"/>
      <c r="C38" s="18"/>
      <c r="D38" s="18"/>
      <c r="E38" s="18"/>
      <c r="F38" s="18"/>
      <c r="G38" s="18"/>
      <c r="H38" s="18"/>
      <c r="I38" s="49"/>
      <c r="J38" s="12"/>
      <c r="K38" s="23"/>
      <c r="L38" s="23"/>
      <c r="M38" s="23"/>
      <c r="N38" s="23"/>
      <c r="O38" s="13"/>
      <c r="P38" s="34"/>
      <c r="Q38" s="38"/>
      <c r="R38" s="99"/>
      <c r="S38" s="55" t="s">
        <v>61</v>
      </c>
      <c r="T38" s="104"/>
      <c r="U38" s="17"/>
      <c r="V38" s="15">
        <v>137485</v>
      </c>
      <c r="W38" s="82">
        <f>F42</f>
        <v>0</v>
      </c>
      <c r="X38" s="82">
        <f>E42</f>
        <v>0</v>
      </c>
      <c r="Y38" s="113">
        <v>40</v>
      </c>
      <c r="Z38" s="12"/>
      <c r="AA38" s="46">
        <f>(W38-X38)*Y38</f>
        <v>0</v>
      </c>
      <c r="AB38" s="120"/>
      <c r="AC38" s="120"/>
      <c r="AD38" s="120"/>
      <c r="AE38" s="120"/>
      <c r="AF38" s="120"/>
      <c r="AG38" s="120"/>
      <c r="AH38" s="120"/>
      <c r="AI38" s="120"/>
      <c r="AJ38" s="120"/>
    </row>
    <row r="39" spans="1:36" ht="12.75">
      <c r="A39" s="5" t="s">
        <v>427</v>
      </c>
      <c r="B39" s="1"/>
      <c r="C39" s="1"/>
      <c r="D39" s="1"/>
      <c r="E39" s="1"/>
      <c r="F39" s="1"/>
      <c r="G39" s="1"/>
      <c r="H39" s="1"/>
      <c r="I39" s="35">
        <f>SUM(I28:I38)</f>
        <v>-122942729.90799999</v>
      </c>
      <c r="J39" s="12"/>
      <c r="K39" s="23"/>
      <c r="L39" s="23"/>
      <c r="M39" s="23"/>
      <c r="N39" s="23"/>
      <c r="O39" s="13"/>
      <c r="P39" s="34"/>
      <c r="Q39" s="38"/>
      <c r="R39" s="39"/>
      <c r="S39" s="53" t="s">
        <v>62</v>
      </c>
      <c r="T39" s="105"/>
      <c r="U39" s="15"/>
      <c r="V39" s="13">
        <v>119849</v>
      </c>
      <c r="W39" s="84">
        <f>F43</f>
        <v>1200</v>
      </c>
      <c r="X39" s="84">
        <f>E43</f>
        <v>4419.4429</v>
      </c>
      <c r="Y39" s="113">
        <v>40</v>
      </c>
      <c r="Z39" s="12"/>
      <c r="AA39" s="46">
        <f>(W39-X39)*Y39</f>
        <v>-128777.716</v>
      </c>
      <c r="AB39" s="120"/>
      <c r="AC39" s="120"/>
      <c r="AD39" s="120"/>
      <c r="AE39" s="120"/>
      <c r="AF39" s="120"/>
      <c r="AG39" s="120"/>
      <c r="AH39" s="120"/>
      <c r="AI39" s="120"/>
      <c r="AJ39" s="120"/>
    </row>
    <row r="40" spans="10:36" ht="12.75">
      <c r="J40" s="12"/>
      <c r="K40" s="23"/>
      <c r="L40" s="23"/>
      <c r="M40" s="23"/>
      <c r="N40" s="23"/>
      <c r="O40" s="13"/>
      <c r="P40" s="34"/>
      <c r="Q40" s="58"/>
      <c r="R40" s="39"/>
      <c r="S40" s="94" t="s">
        <v>60</v>
      </c>
      <c r="T40" s="10"/>
      <c r="U40" s="16"/>
      <c r="V40" s="24"/>
      <c r="W40" s="24"/>
      <c r="X40" s="24"/>
      <c r="Y40" s="24"/>
      <c r="Z40" s="23"/>
      <c r="AA40" s="46"/>
      <c r="AB40" s="120"/>
      <c r="AC40" s="120"/>
      <c r="AD40" s="120"/>
      <c r="AE40" s="120"/>
      <c r="AF40" s="120"/>
      <c r="AG40" s="120"/>
      <c r="AH40" s="120"/>
      <c r="AI40" s="120"/>
      <c r="AJ40" s="120"/>
    </row>
    <row r="41" spans="1:36" ht="12.75">
      <c r="A41" s="78" t="s">
        <v>59</v>
      </c>
      <c r="B41" s="85"/>
      <c r="C41" s="21"/>
      <c r="D41" s="24"/>
      <c r="E41" s="83"/>
      <c r="F41" s="83"/>
      <c r="G41" s="83"/>
      <c r="H41" s="24"/>
      <c r="I41" s="34"/>
      <c r="J41" s="12" t="s">
        <v>323</v>
      </c>
      <c r="K41" s="23"/>
      <c r="L41" s="23"/>
      <c r="M41" s="23"/>
      <c r="N41" s="23"/>
      <c r="O41" s="13"/>
      <c r="P41" s="34"/>
      <c r="Q41" s="38"/>
      <c r="R41" s="39"/>
      <c r="S41" s="55" t="s">
        <v>63</v>
      </c>
      <c r="T41" s="104"/>
      <c r="U41" s="17"/>
      <c r="V41" s="15">
        <v>10700885</v>
      </c>
      <c r="W41" s="82">
        <f>F45</f>
        <v>13474</v>
      </c>
      <c r="X41" s="82">
        <f>E45</f>
        <v>6627.3768</v>
      </c>
      <c r="Y41" s="113">
        <v>1</v>
      </c>
      <c r="Z41" s="12"/>
      <c r="AA41" s="46">
        <f>(W41-X41)*Y41</f>
        <v>6846.6232</v>
      </c>
      <c r="AB41" s="120"/>
      <c r="AC41" s="120"/>
      <c r="AD41" s="120"/>
      <c r="AE41" s="120"/>
      <c r="AF41" s="120"/>
      <c r="AG41" s="120"/>
      <c r="AH41" s="120"/>
      <c r="AI41" s="120"/>
      <c r="AJ41" s="120"/>
    </row>
    <row r="42" spans="1:36" ht="12.75">
      <c r="A42" s="55" t="s">
        <v>61</v>
      </c>
      <c r="B42" s="86"/>
      <c r="C42" s="73">
        <v>137485</v>
      </c>
      <c r="D42" s="20">
        <v>40</v>
      </c>
      <c r="E42" s="82">
        <f>Лист1!E36</f>
        <v>0</v>
      </c>
      <c r="F42" s="82">
        <f>Лист13!F42</f>
        <v>0</v>
      </c>
      <c r="G42" s="8">
        <f>F42-E42</f>
        <v>0</v>
      </c>
      <c r="H42" s="20"/>
      <c r="I42" s="35">
        <f>D42*G42</f>
        <v>0</v>
      </c>
      <c r="J42" s="12"/>
      <c r="K42" s="23"/>
      <c r="L42" s="23"/>
      <c r="M42" s="23"/>
      <c r="N42" s="23"/>
      <c r="O42" s="13"/>
      <c r="P42" s="34"/>
      <c r="Q42" s="58"/>
      <c r="R42" s="39"/>
      <c r="S42" s="55" t="s">
        <v>64</v>
      </c>
      <c r="T42" s="104"/>
      <c r="U42" s="15"/>
      <c r="V42" s="1">
        <v>100231</v>
      </c>
      <c r="W42" s="84">
        <f>F46</f>
        <v>25</v>
      </c>
      <c r="X42" s="84">
        <f>E46</f>
        <v>25</v>
      </c>
      <c r="Y42" s="114">
        <v>1</v>
      </c>
      <c r="Z42" s="12"/>
      <c r="AA42" s="46">
        <f>(W42-X42)*Y42</f>
        <v>0</v>
      </c>
      <c r="AB42" s="120"/>
      <c r="AC42" s="120"/>
      <c r="AD42" s="120"/>
      <c r="AE42" s="120"/>
      <c r="AF42" s="120"/>
      <c r="AG42" s="120"/>
      <c r="AH42" s="120"/>
      <c r="AI42" s="120"/>
      <c r="AJ42" s="120"/>
    </row>
    <row r="43" spans="1:36" ht="12.75">
      <c r="A43" s="53" t="s">
        <v>62</v>
      </c>
      <c r="B43" s="87"/>
      <c r="C43" s="121">
        <v>119849</v>
      </c>
      <c r="D43" s="18">
        <v>40</v>
      </c>
      <c r="E43" s="84">
        <f>Лист1!E37</f>
        <v>4419.4429</v>
      </c>
      <c r="F43" s="84">
        <f>Лист13!F43</f>
        <v>1200</v>
      </c>
      <c r="G43" s="8">
        <f>F43-E43</f>
        <v>-3219.4429</v>
      </c>
      <c r="H43" s="18"/>
      <c r="I43" s="35">
        <f>D43*G43</f>
        <v>-128777.716</v>
      </c>
      <c r="J43" s="12" t="s">
        <v>3</v>
      </c>
      <c r="K43" s="23"/>
      <c r="L43" s="23"/>
      <c r="M43" s="23"/>
      <c r="N43" s="23"/>
      <c r="O43" s="13"/>
      <c r="P43" s="34"/>
      <c r="Q43" s="58"/>
      <c r="R43" s="39"/>
      <c r="S43" s="88" t="s">
        <v>65</v>
      </c>
      <c r="T43" s="89"/>
      <c r="U43" s="110"/>
      <c r="V43" s="109" t="s">
        <v>315</v>
      </c>
      <c r="W43" s="106"/>
      <c r="X43" s="107"/>
      <c r="Y43" s="107"/>
      <c r="Z43" s="12"/>
      <c r="AA43" s="46"/>
      <c r="AB43" s="120"/>
      <c r="AC43" s="120"/>
      <c r="AD43" s="120"/>
      <c r="AE43" s="120"/>
      <c r="AF43" s="120"/>
      <c r="AG43" s="120"/>
      <c r="AH43" s="120"/>
      <c r="AI43" s="120"/>
      <c r="AJ43" s="120"/>
    </row>
    <row r="44" spans="1:36" ht="12.75">
      <c r="A44" s="78" t="s">
        <v>60</v>
      </c>
      <c r="B44" s="85"/>
      <c r="C44" s="21"/>
      <c r="D44" s="24"/>
      <c r="E44" s="24"/>
      <c r="F44" s="24"/>
      <c r="G44" s="24"/>
      <c r="H44" s="22"/>
      <c r="I44" s="34"/>
      <c r="J44" s="12"/>
      <c r="K44" s="23"/>
      <c r="L44" s="23" t="s">
        <v>330</v>
      </c>
      <c r="M44" s="23"/>
      <c r="N44" s="23"/>
      <c r="O44" s="13"/>
      <c r="P44" s="34"/>
      <c r="Q44" s="59"/>
      <c r="R44" s="39"/>
      <c r="S44" s="79" t="s">
        <v>66</v>
      </c>
      <c r="T44" s="91"/>
      <c r="U44" s="111"/>
      <c r="V44" s="108" t="s">
        <v>68</v>
      </c>
      <c r="W44" s="108"/>
      <c r="X44" s="108"/>
      <c r="Y44" s="108"/>
      <c r="Z44" s="21"/>
      <c r="AA44" s="34">
        <f>I48</f>
        <v>0</v>
      </c>
      <c r="AB44" s="120"/>
      <c r="AC44" s="120"/>
      <c r="AD44" s="120"/>
      <c r="AE44" s="120"/>
      <c r="AF44" s="120"/>
      <c r="AG44" s="120"/>
      <c r="AH44" s="120"/>
      <c r="AI44" s="120"/>
      <c r="AJ44" s="120"/>
    </row>
    <row r="45" spans="1:36" ht="12.75">
      <c r="A45" s="55" t="s">
        <v>63</v>
      </c>
      <c r="B45" s="86"/>
      <c r="C45" s="72">
        <v>10700885</v>
      </c>
      <c r="D45" s="20">
        <v>1</v>
      </c>
      <c r="E45" s="82">
        <f>Лист1!E39</f>
        <v>6627.3768</v>
      </c>
      <c r="F45" s="82">
        <v>13474</v>
      </c>
      <c r="G45" s="8">
        <f>F45-E45</f>
        <v>6846.6232</v>
      </c>
      <c r="H45" s="20"/>
      <c r="I45" s="35">
        <f>D45*G45</f>
        <v>6846.6232</v>
      </c>
      <c r="J45" s="12"/>
      <c r="K45" s="23"/>
      <c r="L45" s="23"/>
      <c r="M45" s="23"/>
      <c r="N45" s="23"/>
      <c r="O45" s="13"/>
      <c r="P45" s="34"/>
      <c r="Q45" s="58"/>
      <c r="R45" s="39"/>
      <c r="S45" s="4"/>
      <c r="T45" s="4"/>
      <c r="U45" s="4"/>
      <c r="V45" s="4"/>
      <c r="W45" s="4"/>
      <c r="X45" s="4"/>
      <c r="Y45" s="4"/>
      <c r="Z45" s="4"/>
      <c r="AA45" s="4"/>
      <c r="AB45" s="120"/>
      <c r="AC45" s="120"/>
      <c r="AD45" s="120"/>
      <c r="AE45" s="120"/>
      <c r="AF45" s="120"/>
      <c r="AG45" s="120"/>
      <c r="AH45" s="120"/>
      <c r="AI45" s="120"/>
      <c r="AJ45" s="120"/>
    </row>
    <row r="46" spans="1:36" ht="12.75">
      <c r="A46" s="55" t="s">
        <v>64</v>
      </c>
      <c r="B46" s="86"/>
      <c r="C46" s="70">
        <v>100231</v>
      </c>
      <c r="D46" s="18">
        <v>1</v>
      </c>
      <c r="E46" s="84">
        <v>25</v>
      </c>
      <c r="F46" s="84">
        <v>25</v>
      </c>
      <c r="G46" s="84">
        <f>F46-E46</f>
        <v>0</v>
      </c>
      <c r="H46" s="18"/>
      <c r="I46" s="35">
        <f>D46*G46</f>
        <v>0</v>
      </c>
      <c r="J46" s="12"/>
      <c r="K46" s="23"/>
      <c r="L46" s="23"/>
      <c r="M46" s="23"/>
      <c r="N46" s="23"/>
      <c r="O46" s="13"/>
      <c r="P46" s="34"/>
      <c r="Q46" s="59"/>
      <c r="R46" s="99"/>
      <c r="S46" s="26" t="s">
        <v>309</v>
      </c>
      <c r="T46" s="24"/>
      <c r="U46" s="24"/>
      <c r="V46" s="24"/>
      <c r="W46" s="24"/>
      <c r="X46" s="24"/>
      <c r="Y46" s="24"/>
      <c r="Z46" s="21"/>
      <c r="AA46" s="115" t="e">
        <f>AA36-SUM(AA38:AA44)</f>
        <v>#VALUE!</v>
      </c>
      <c r="AB46" s="120"/>
      <c r="AC46" s="120"/>
      <c r="AD46" s="120"/>
      <c r="AE46" s="120"/>
      <c r="AF46" s="120"/>
      <c r="AG46" s="120"/>
      <c r="AH46" s="120"/>
      <c r="AI46" s="120"/>
      <c r="AJ46" s="120"/>
    </row>
    <row r="47" spans="1:36" ht="12.75">
      <c r="A47" s="88" t="s">
        <v>65</v>
      </c>
      <c r="B47" s="89"/>
      <c r="C47" s="12" t="s">
        <v>315</v>
      </c>
      <c r="D47" s="23"/>
      <c r="E47" s="92"/>
      <c r="F47" s="92"/>
      <c r="G47" s="93"/>
      <c r="H47" s="22"/>
      <c r="I47" s="34"/>
      <c r="J47" s="12"/>
      <c r="K47" s="23"/>
      <c r="L47" s="23" t="s">
        <v>346</v>
      </c>
      <c r="M47" s="23"/>
      <c r="N47" s="23"/>
      <c r="O47" s="13"/>
      <c r="P47" s="34"/>
      <c r="Q47" s="38"/>
      <c r="R47" s="39"/>
      <c r="S47" s="32" t="s">
        <v>313</v>
      </c>
      <c r="T47" s="28"/>
      <c r="U47" s="28"/>
      <c r="V47" s="28"/>
      <c r="W47" s="28"/>
      <c r="X47" s="28"/>
      <c r="Y47" s="28"/>
      <c r="Z47" s="28"/>
      <c r="AA47" s="63"/>
      <c r="AB47" s="120"/>
      <c r="AC47" s="120"/>
      <c r="AD47" s="120"/>
      <c r="AE47" s="120"/>
      <c r="AF47" s="120"/>
      <c r="AG47" s="120"/>
      <c r="AH47" s="120"/>
      <c r="AI47" s="120"/>
      <c r="AJ47" s="120"/>
    </row>
    <row r="48" spans="1:36" ht="12.75">
      <c r="A48" s="79" t="s">
        <v>66</v>
      </c>
      <c r="B48" s="91"/>
      <c r="C48" s="14" t="s">
        <v>100</v>
      </c>
      <c r="D48" s="9"/>
      <c r="E48" s="9"/>
      <c r="F48" s="9"/>
      <c r="G48" s="15"/>
      <c r="H48" s="15"/>
      <c r="I48" s="35">
        <f>Лист1!I42+Лист2!I42+Лист3!I42+Лист4!I49+Лист6!I48+Лист7!I48+Лист8!I48+Лист9!I48+Лист10!I48+Лист11!I48+Лист12!I48+Лист13!I48</f>
        <v>0</v>
      </c>
      <c r="J48" s="24"/>
      <c r="K48" s="24"/>
      <c r="L48" s="30" t="s">
        <v>331</v>
      </c>
      <c r="M48" s="24"/>
      <c r="N48" s="24"/>
      <c r="O48" s="22"/>
      <c r="P48" s="34"/>
      <c r="Q48" s="38"/>
      <c r="R48" s="99"/>
      <c r="S48" s="51" t="s">
        <v>428</v>
      </c>
      <c r="T48" s="85"/>
      <c r="U48" s="23"/>
      <c r="V48" s="129" t="s">
        <v>53</v>
      </c>
      <c r="W48" s="119">
        <f>F15</f>
        <v>0</v>
      </c>
      <c r="X48" s="8">
        <f>E15</f>
        <v>0</v>
      </c>
      <c r="Y48" s="1">
        <v>3600</v>
      </c>
      <c r="Z48" s="1"/>
      <c r="AA48" s="35">
        <f aca="true" t="shared" si="8" ref="AA48:AA55">(W48-X48)*Y48</f>
        <v>0</v>
      </c>
      <c r="AB48" s="120"/>
      <c r="AC48" s="120"/>
      <c r="AD48" s="120"/>
      <c r="AE48" s="120"/>
      <c r="AF48" s="120"/>
      <c r="AG48" s="120"/>
      <c r="AH48" s="120"/>
      <c r="AI48" s="120"/>
      <c r="AJ48" s="120"/>
    </row>
    <row r="49" spans="1:36" ht="12.75">
      <c r="A49" s="5"/>
      <c r="B49" s="1"/>
      <c r="C49" s="1"/>
      <c r="D49" s="1"/>
      <c r="E49" s="1"/>
      <c r="F49" s="1"/>
      <c r="G49" s="1"/>
      <c r="H49" s="1"/>
      <c r="I49" s="35"/>
      <c r="J49" s="11"/>
      <c r="K49" s="4"/>
      <c r="L49" s="4"/>
      <c r="M49" s="4"/>
      <c r="N49" s="4"/>
      <c r="O49" s="4"/>
      <c r="P49" s="4"/>
      <c r="Q49" s="4"/>
      <c r="R49" s="4"/>
      <c r="S49" s="53" t="s">
        <v>429</v>
      </c>
      <c r="T49" s="112"/>
      <c r="U49" s="9"/>
      <c r="V49" s="20"/>
      <c r="W49" s="119">
        <f>F16</f>
        <v>36000</v>
      </c>
      <c r="X49" s="8">
        <f>E16</f>
        <v>4231.7602</v>
      </c>
      <c r="Y49" s="1">
        <v>3600</v>
      </c>
      <c r="Z49" s="1"/>
      <c r="AA49" s="33">
        <f t="shared" si="8"/>
        <v>114365663.28</v>
      </c>
      <c r="AB49" s="120"/>
      <c r="AC49" s="120"/>
      <c r="AD49" s="120"/>
      <c r="AE49" s="120"/>
      <c r="AF49" s="120"/>
      <c r="AG49" s="120"/>
      <c r="AH49" s="120"/>
      <c r="AI49" s="120"/>
      <c r="AJ49" s="120"/>
    </row>
    <row r="50" spans="1:36" ht="12.75">
      <c r="A50" s="1" t="s">
        <v>75</v>
      </c>
      <c r="B50" s="1"/>
      <c r="C50" s="1"/>
      <c r="D50" s="1"/>
      <c r="E50" s="1"/>
      <c r="F50" s="1"/>
      <c r="G50" s="1"/>
      <c r="H50" s="1"/>
      <c r="I50" s="35"/>
      <c r="J50" s="11"/>
      <c r="K50" s="4"/>
      <c r="L50" s="4"/>
      <c r="M50" s="4"/>
      <c r="N50" s="4"/>
      <c r="O50" s="4"/>
      <c r="P50" s="4"/>
      <c r="Q50" s="4"/>
      <c r="R50" s="4"/>
      <c r="S50" s="51" t="s">
        <v>355</v>
      </c>
      <c r="T50" s="85"/>
      <c r="U50" s="23"/>
      <c r="V50" s="129" t="s">
        <v>54</v>
      </c>
      <c r="W50" s="119">
        <f>F17</f>
        <v>294.5</v>
      </c>
      <c r="X50" s="8">
        <f>E17</f>
        <v>292.5</v>
      </c>
      <c r="Y50" s="1">
        <v>3600</v>
      </c>
      <c r="Z50" s="1"/>
      <c r="AA50" s="35">
        <f t="shared" si="8"/>
        <v>7200</v>
      </c>
      <c r="AB50" s="120"/>
      <c r="AC50" s="120"/>
      <c r="AD50" s="120"/>
      <c r="AE50" s="120"/>
      <c r="AF50" s="120"/>
      <c r="AG50" s="120"/>
      <c r="AH50" s="120"/>
      <c r="AI50" s="120"/>
      <c r="AJ50" s="120"/>
    </row>
    <row r="51" spans="1:36" ht="12.75">
      <c r="A51" s="6" t="s">
        <v>25</v>
      </c>
      <c r="B51" s="2"/>
      <c r="C51" s="2"/>
      <c r="D51" s="2"/>
      <c r="E51" s="2"/>
      <c r="F51" s="2"/>
      <c r="G51" s="2"/>
      <c r="H51" s="2"/>
      <c r="I51" s="35" t="e">
        <f>SUM(I12:I38)-SUM(I42:I48)</f>
        <v>#VALUE!</v>
      </c>
      <c r="J51" s="11" t="s">
        <v>433</v>
      </c>
      <c r="K51" s="4"/>
      <c r="L51" s="4"/>
      <c r="M51" s="4"/>
      <c r="N51" s="4"/>
      <c r="O51" s="4"/>
      <c r="P51" s="4"/>
      <c r="Q51" s="4"/>
      <c r="R51" s="4"/>
      <c r="S51" s="53" t="s">
        <v>356</v>
      </c>
      <c r="T51" s="112"/>
      <c r="U51" s="9"/>
      <c r="V51" s="20"/>
      <c r="W51" s="119">
        <f>F18</f>
        <v>337.8</v>
      </c>
      <c r="X51" s="8">
        <f>E18</f>
        <v>335.6</v>
      </c>
      <c r="Y51" s="1">
        <v>3600</v>
      </c>
      <c r="Z51" s="1"/>
      <c r="AA51" s="33">
        <f t="shared" si="8"/>
        <v>7919.999999999959</v>
      </c>
      <c r="AB51" s="120"/>
      <c r="AC51" s="120"/>
      <c r="AD51" s="120"/>
      <c r="AE51" s="120"/>
      <c r="AF51" s="120"/>
      <c r="AG51" s="120"/>
      <c r="AH51" s="120"/>
      <c r="AI51" s="120"/>
      <c r="AJ51" s="120"/>
    </row>
    <row r="52" spans="1:36" ht="12.75">
      <c r="A52" s="1" t="s">
        <v>75</v>
      </c>
      <c r="B52" s="1"/>
      <c r="C52" s="1"/>
      <c r="D52" s="1"/>
      <c r="E52" s="1"/>
      <c r="F52" s="1"/>
      <c r="G52" s="1"/>
      <c r="H52" s="1"/>
      <c r="I52" s="35"/>
      <c r="J52" s="11"/>
      <c r="K52" s="4"/>
      <c r="L52" s="4"/>
      <c r="M52" s="4"/>
      <c r="N52" s="4"/>
      <c r="O52" s="4"/>
      <c r="P52" s="4"/>
      <c r="Q52" s="4"/>
      <c r="R52" s="4"/>
      <c r="S52" s="117" t="s">
        <v>35</v>
      </c>
      <c r="T52" s="85"/>
      <c r="U52" s="13"/>
      <c r="V52" s="22">
        <v>403134</v>
      </c>
      <c r="W52" s="8">
        <f>F13</f>
        <v>6</v>
      </c>
      <c r="X52" s="8">
        <f>E13</f>
        <v>0</v>
      </c>
      <c r="Y52" s="1">
        <v>40</v>
      </c>
      <c r="Z52" s="1"/>
      <c r="AA52" s="33">
        <f t="shared" si="8"/>
        <v>240</v>
      </c>
      <c r="AB52" s="120"/>
      <c r="AC52" s="120"/>
      <c r="AD52" s="120"/>
      <c r="AE52" s="120"/>
      <c r="AF52" s="120"/>
      <c r="AG52" s="120"/>
      <c r="AH52" s="120"/>
      <c r="AI52" s="120"/>
      <c r="AJ52" s="120"/>
    </row>
    <row r="53" spans="1:36" ht="12.75">
      <c r="A53" s="5" t="s">
        <v>426</v>
      </c>
      <c r="B53" s="1"/>
      <c r="C53" s="1"/>
      <c r="D53" s="1"/>
      <c r="E53" s="1"/>
      <c r="F53" s="1"/>
      <c r="G53" s="1"/>
      <c r="H53" s="1"/>
      <c r="I53" s="35" t="e">
        <f>I11-I51</f>
        <v>#VALUE!</v>
      </c>
      <c r="J53" s="11"/>
      <c r="K53" s="4"/>
      <c r="L53" s="4"/>
      <c r="M53" s="4"/>
      <c r="N53" s="4"/>
      <c r="O53" s="4"/>
      <c r="P53" s="4"/>
      <c r="Q53" s="4"/>
      <c r="R53" s="4"/>
      <c r="S53" s="55" t="s">
        <v>34</v>
      </c>
      <c r="T53" s="10"/>
      <c r="U53" s="17"/>
      <c r="V53" s="13">
        <v>3491</v>
      </c>
      <c r="W53" s="8">
        <f>F14</f>
        <v>0</v>
      </c>
      <c r="X53" s="8">
        <f>E14</f>
        <v>0</v>
      </c>
      <c r="Y53" s="1">
        <v>60</v>
      </c>
      <c r="Z53" s="1"/>
      <c r="AA53" s="33">
        <f t="shared" si="8"/>
        <v>0</v>
      </c>
      <c r="AB53" s="120"/>
      <c r="AC53" s="120"/>
      <c r="AD53" s="120"/>
      <c r="AE53" s="120"/>
      <c r="AF53" s="120"/>
      <c r="AG53" s="120"/>
      <c r="AH53" s="120"/>
      <c r="AI53" s="120"/>
      <c r="AJ53" s="120"/>
    </row>
    <row r="54" spans="1:36" ht="12.75">
      <c r="A54" s="1" t="s">
        <v>351</v>
      </c>
      <c r="B54" s="5"/>
      <c r="C54" s="1"/>
      <c r="D54" s="1"/>
      <c r="E54" s="8"/>
      <c r="F54" s="8"/>
      <c r="G54" s="1"/>
      <c r="H54" s="1"/>
      <c r="I54" s="35">
        <f>SUM(I42:I46)</f>
        <v>-121931.0928</v>
      </c>
      <c r="J54" s="11"/>
      <c r="K54" s="4"/>
      <c r="L54" s="4"/>
      <c r="M54" s="4"/>
      <c r="N54" s="4"/>
      <c r="O54" s="4"/>
      <c r="P54" s="4"/>
      <c r="Q54" s="4"/>
      <c r="R54" s="4"/>
      <c r="S54" s="51" t="s">
        <v>40</v>
      </c>
      <c r="T54" s="23"/>
      <c r="U54" s="52"/>
      <c r="V54" s="52">
        <v>54545702413</v>
      </c>
      <c r="W54" s="119">
        <f>F23</f>
        <v>0</v>
      </c>
      <c r="X54" s="8" t="e">
        <f>E23</f>
        <v>#REF!</v>
      </c>
      <c r="Y54" s="22">
        <v>20</v>
      </c>
      <c r="Z54" s="1"/>
      <c r="AA54" s="33" t="e">
        <f t="shared" si="8"/>
        <v>#REF!</v>
      </c>
      <c r="AB54" s="120"/>
      <c r="AC54" s="120"/>
      <c r="AD54" s="120"/>
      <c r="AE54" s="120"/>
      <c r="AF54" s="120"/>
      <c r="AG54" s="120"/>
      <c r="AH54" s="120"/>
      <c r="AI54" s="120"/>
      <c r="AJ54" s="120"/>
    </row>
    <row r="55" spans="10:36" ht="12.75">
      <c r="J55" s="11"/>
      <c r="K55" s="4"/>
      <c r="L55" s="4" t="s">
        <v>320</v>
      </c>
      <c r="M55" s="4"/>
      <c r="N55" s="4"/>
      <c r="O55" s="4"/>
      <c r="P55" s="4"/>
      <c r="Q55" s="4"/>
      <c r="R55" s="132">
        <v>155994</v>
      </c>
      <c r="S55" s="95" t="s">
        <v>102</v>
      </c>
      <c r="T55" s="9"/>
      <c r="U55" s="54"/>
      <c r="V55" s="15"/>
      <c r="W55" s="119">
        <f>F24</f>
        <v>0</v>
      </c>
      <c r="X55" s="8">
        <f>E24</f>
        <v>17872.7368</v>
      </c>
      <c r="Y55" s="22">
        <v>20</v>
      </c>
      <c r="Z55" s="1"/>
      <c r="AA55" s="33">
        <f t="shared" si="8"/>
        <v>-357454.736</v>
      </c>
      <c r="AB55" s="120"/>
      <c r="AC55" s="120"/>
      <c r="AD55" s="120"/>
      <c r="AE55" s="120"/>
      <c r="AF55" s="120"/>
      <c r="AG55" s="120"/>
      <c r="AH55" s="120"/>
      <c r="AI55" s="120"/>
      <c r="AJ55" s="120"/>
    </row>
    <row r="56" spans="1:36" ht="12.75">
      <c r="A56" s="4" t="s">
        <v>434</v>
      </c>
      <c r="B56" s="4"/>
      <c r="C56" s="4"/>
      <c r="D56" s="4"/>
      <c r="E56" s="4"/>
      <c r="F56" s="4"/>
      <c r="G56" s="4"/>
      <c r="H56" s="4"/>
      <c r="I56" s="4"/>
      <c r="J56" s="11"/>
      <c r="K56" s="4"/>
      <c r="L56" s="4" t="s">
        <v>97</v>
      </c>
      <c r="M56" s="4"/>
      <c r="N56" s="4"/>
      <c r="O56" s="4"/>
      <c r="P56" s="4"/>
      <c r="Q56" s="4"/>
      <c r="R56" s="133" t="e">
        <f>(R55+R8)/P8</f>
        <v>#VALUE!</v>
      </c>
      <c r="S56" s="118" t="s">
        <v>310</v>
      </c>
      <c r="T56" s="24"/>
      <c r="U56" s="24"/>
      <c r="V56" s="24"/>
      <c r="W56" s="24"/>
      <c r="X56" s="24"/>
      <c r="Y56" s="24"/>
      <c r="Z56" s="21"/>
      <c r="AA56" s="115" t="e">
        <f>SUM(AA48:AA55)</f>
        <v>#REF!</v>
      </c>
      <c r="AB56" s="120"/>
      <c r="AC56" s="120"/>
      <c r="AD56" s="120"/>
      <c r="AE56" s="120"/>
      <c r="AF56" s="120"/>
      <c r="AG56" s="120"/>
      <c r="AH56" s="120"/>
      <c r="AI56" s="120"/>
      <c r="AJ56" s="120"/>
    </row>
    <row r="57" spans="1:36" ht="12.75">
      <c r="A57" s="10"/>
      <c r="B57" s="11"/>
      <c r="C57" s="11"/>
      <c r="D57" s="11"/>
      <c r="E57" s="11"/>
      <c r="F57" s="11"/>
      <c r="G57" s="11"/>
      <c r="H57" s="11"/>
      <c r="I57" s="65"/>
      <c r="J57" s="11"/>
      <c r="K57" s="4"/>
      <c r="L57" s="4"/>
      <c r="M57" s="4"/>
      <c r="N57" s="4"/>
      <c r="O57" s="4"/>
      <c r="P57" s="4"/>
      <c r="Q57" s="4"/>
      <c r="R57" s="4"/>
      <c r="S57" s="32" t="s">
        <v>314</v>
      </c>
      <c r="T57" s="28"/>
      <c r="U57" s="28"/>
      <c r="V57" s="28"/>
      <c r="W57" s="28"/>
      <c r="X57" s="28"/>
      <c r="Y57" s="28"/>
      <c r="Z57" s="28"/>
      <c r="AA57" s="63"/>
      <c r="AB57" s="120" t="s">
        <v>332</v>
      </c>
      <c r="AC57" s="120"/>
      <c r="AD57" s="120"/>
      <c r="AE57" s="120"/>
      <c r="AF57" s="120"/>
      <c r="AG57" s="120"/>
      <c r="AH57" s="120"/>
      <c r="AI57" s="120"/>
      <c r="AJ57" s="120"/>
    </row>
    <row r="58" spans="1:36" ht="12.75">
      <c r="A58" s="11" t="s">
        <v>106</v>
      </c>
      <c r="B58" s="11"/>
      <c r="C58" s="11"/>
      <c r="D58" s="11"/>
      <c r="E58" s="11"/>
      <c r="F58" s="11"/>
      <c r="G58" s="11"/>
      <c r="H58" s="11"/>
      <c r="I58" s="11"/>
      <c r="J58" s="11" t="s">
        <v>399</v>
      </c>
      <c r="K58" s="4"/>
      <c r="L58" s="4"/>
      <c r="M58" s="4"/>
      <c r="N58" s="4"/>
      <c r="O58" s="4"/>
      <c r="P58" s="4"/>
      <c r="Q58" s="4"/>
      <c r="R58" s="4"/>
      <c r="S58" s="51" t="s">
        <v>311</v>
      </c>
      <c r="T58" s="85"/>
      <c r="U58" s="121"/>
      <c r="V58" s="121" t="s">
        <v>412</v>
      </c>
      <c r="W58" s="8">
        <f>F21</f>
        <v>0</v>
      </c>
      <c r="X58" s="8">
        <f>E21</f>
        <v>0</v>
      </c>
      <c r="Y58" s="22">
        <v>40</v>
      </c>
      <c r="Z58" s="1"/>
      <c r="AA58" s="35">
        <f>(W58-X58)*Y58</f>
        <v>0</v>
      </c>
      <c r="AB58" s="120" t="s">
        <v>333</v>
      </c>
      <c r="AC58" s="120"/>
      <c r="AD58" s="120"/>
      <c r="AE58" s="120"/>
      <c r="AF58" s="120"/>
      <c r="AG58" s="120"/>
      <c r="AH58" s="120"/>
      <c r="AI58" s="120"/>
      <c r="AJ58" s="120"/>
    </row>
    <row r="59" spans="1:36" ht="12.75">
      <c r="A59" s="11" t="s">
        <v>366</v>
      </c>
      <c r="B59" s="11"/>
      <c r="C59" s="11"/>
      <c r="D59" s="11"/>
      <c r="E59" s="11"/>
      <c r="F59" s="11"/>
      <c r="G59" s="11"/>
      <c r="H59" s="11"/>
      <c r="I59" s="11"/>
      <c r="J59" s="11" t="s">
        <v>79</v>
      </c>
      <c r="K59" s="4"/>
      <c r="L59" s="4"/>
      <c r="M59" s="4"/>
      <c r="N59" s="4"/>
      <c r="O59" s="4"/>
      <c r="P59" s="4"/>
      <c r="Q59" s="4"/>
      <c r="R59" s="4"/>
      <c r="S59" s="123" t="s">
        <v>312</v>
      </c>
      <c r="T59" s="122"/>
      <c r="U59" s="56"/>
      <c r="V59" s="54"/>
      <c r="W59" s="8">
        <f>F22</f>
        <v>0</v>
      </c>
      <c r="X59" s="8">
        <f>E22</f>
        <v>0</v>
      </c>
      <c r="Y59" s="22">
        <v>40</v>
      </c>
      <c r="Z59" s="1"/>
      <c r="AA59" s="33">
        <f>(W59-X59)*Y59</f>
        <v>0</v>
      </c>
      <c r="AB59" s="120" t="s">
        <v>334</v>
      </c>
      <c r="AC59" s="120"/>
      <c r="AD59" s="120"/>
      <c r="AE59" s="120"/>
      <c r="AF59" s="120"/>
      <c r="AG59" s="120"/>
      <c r="AH59" s="120"/>
      <c r="AI59" s="120"/>
      <c r="AJ59" s="120"/>
    </row>
    <row r="60" spans="1:36" ht="13.5">
      <c r="A60" s="11"/>
      <c r="B60" s="11" t="s">
        <v>400</v>
      </c>
      <c r="C60" s="11"/>
      <c r="D60" s="11"/>
      <c r="E60" s="11"/>
      <c r="F60" s="31" t="s">
        <v>298</v>
      </c>
      <c r="G60" s="48" t="s">
        <v>58</v>
      </c>
      <c r="H60" s="11"/>
      <c r="I60" s="11"/>
      <c r="J60" s="11"/>
      <c r="K60" s="4" t="s">
        <v>4</v>
      </c>
      <c r="L60" s="4"/>
      <c r="M60" s="4"/>
      <c r="N60" s="4"/>
      <c r="O60" s="29" t="s">
        <v>298</v>
      </c>
      <c r="P60" s="4" t="s">
        <v>99</v>
      </c>
      <c r="Q60" s="4"/>
      <c r="R60" s="4"/>
      <c r="S60" s="51" t="s">
        <v>316</v>
      </c>
      <c r="T60" s="23"/>
      <c r="U60" s="13"/>
      <c r="V60" s="15">
        <v>165138</v>
      </c>
      <c r="W60" s="8">
        <f>F25</f>
        <v>3934</v>
      </c>
      <c r="X60" s="8">
        <f>E25</f>
        <v>3902</v>
      </c>
      <c r="Y60" s="1">
        <v>40</v>
      </c>
      <c r="Z60" s="1"/>
      <c r="AA60" s="33">
        <f>(W60-X60)*Y60</f>
        <v>1280</v>
      </c>
      <c r="AB60" s="120"/>
      <c r="AC60" s="120"/>
      <c r="AD60" s="120"/>
      <c r="AE60" s="120"/>
      <c r="AF60" s="120"/>
      <c r="AG60" s="120"/>
      <c r="AH60" s="120"/>
      <c r="AI60" s="120"/>
      <c r="AJ60" s="120"/>
    </row>
    <row r="61" spans="1:36" ht="12.75">
      <c r="A61" s="12" t="s">
        <v>401</v>
      </c>
      <c r="B61" s="23"/>
      <c r="C61" s="12" t="s">
        <v>402</v>
      </c>
      <c r="D61" s="18" t="s">
        <v>403</v>
      </c>
      <c r="E61" s="22" t="s">
        <v>43</v>
      </c>
      <c r="F61" s="21"/>
      <c r="G61" s="12" t="s">
        <v>404</v>
      </c>
      <c r="H61" s="12" t="s">
        <v>361</v>
      </c>
      <c r="I61" s="13"/>
      <c r="J61" s="21" t="s">
        <v>108</v>
      </c>
      <c r="K61" s="24"/>
      <c r="L61" s="24"/>
      <c r="M61" s="24"/>
      <c r="N61" s="24"/>
      <c r="O61" s="22"/>
      <c r="P61" s="1" t="s">
        <v>370</v>
      </c>
      <c r="Q61" s="1"/>
      <c r="R61" s="1" t="s">
        <v>109</v>
      </c>
      <c r="S61" s="79" t="s">
        <v>317</v>
      </c>
      <c r="T61" s="9"/>
      <c r="U61" s="15"/>
      <c r="V61" s="22">
        <v>62215</v>
      </c>
      <c r="W61" s="8">
        <f>F26</f>
        <v>0.7</v>
      </c>
      <c r="X61" s="8">
        <f>E26</f>
        <v>0.7</v>
      </c>
      <c r="Y61" s="1">
        <v>40</v>
      </c>
      <c r="Z61" s="1"/>
      <c r="AA61" s="33">
        <f>(W61-X61)*Y61</f>
        <v>0</v>
      </c>
      <c r="AB61" s="120"/>
      <c r="AC61" s="120"/>
      <c r="AD61" s="120"/>
      <c r="AE61" s="120"/>
      <c r="AF61" s="120"/>
      <c r="AG61" s="120"/>
      <c r="AH61" s="120"/>
      <c r="AI61" s="120"/>
      <c r="AJ61" s="120"/>
    </row>
    <row r="62" spans="1:36" ht="12.75">
      <c r="A62" s="14" t="s">
        <v>408</v>
      </c>
      <c r="B62" s="9"/>
      <c r="C62" s="14" t="s">
        <v>408</v>
      </c>
      <c r="D62" s="20" t="s">
        <v>409</v>
      </c>
      <c r="E62" s="74" t="s">
        <v>410</v>
      </c>
      <c r="F62" s="90" t="s">
        <v>411</v>
      </c>
      <c r="G62" s="14"/>
      <c r="H62" s="14"/>
      <c r="I62" s="15"/>
      <c r="J62" s="26" t="s">
        <v>301</v>
      </c>
      <c r="K62" s="24"/>
      <c r="L62" s="24"/>
      <c r="M62" s="24"/>
      <c r="N62" s="24"/>
      <c r="O62" s="22"/>
      <c r="P62" s="138">
        <v>388660</v>
      </c>
      <c r="Q62" s="24"/>
      <c r="R62" s="139" t="e">
        <f>R56*P62</f>
        <v>#VALUE!</v>
      </c>
      <c r="AB62" s="120" t="s">
        <v>11</v>
      </c>
      <c r="AC62" s="120"/>
      <c r="AD62" s="120"/>
      <c r="AE62" s="120"/>
      <c r="AF62" s="120"/>
      <c r="AG62" s="120"/>
      <c r="AH62" s="120"/>
      <c r="AI62" s="120"/>
      <c r="AJ62" s="120"/>
    </row>
    <row r="63" spans="1:36" ht="12.75">
      <c r="A63" s="57" t="s">
        <v>398</v>
      </c>
      <c r="B63" s="20"/>
      <c r="C63" s="20"/>
      <c r="D63" s="20"/>
      <c r="E63" s="1"/>
      <c r="F63" s="1"/>
      <c r="G63" s="20"/>
      <c r="H63" s="20"/>
      <c r="I63" s="20"/>
      <c r="J63" s="26" t="s">
        <v>300</v>
      </c>
      <c r="K63" s="24"/>
      <c r="L63" s="24"/>
      <c r="M63" s="24"/>
      <c r="N63" s="24"/>
      <c r="O63" s="22"/>
      <c r="P63" s="138" t="e">
        <f>P100-P62-P64-P65-P72-P77-P80-P81-P85-P86-P87-P88-P89-P90-P91-P92-P93-P94-P95</f>
        <v>#VALUE!</v>
      </c>
      <c r="Q63" s="24"/>
      <c r="R63" s="139" t="e">
        <f>R56*P63</f>
        <v>#VALUE!</v>
      </c>
      <c r="S63" s="118" t="s">
        <v>318</v>
      </c>
      <c r="T63" s="24"/>
      <c r="U63" s="24"/>
      <c r="V63" s="24"/>
      <c r="W63" s="24"/>
      <c r="X63" s="24"/>
      <c r="Y63" s="24"/>
      <c r="Z63" s="21"/>
      <c r="AA63" s="115">
        <f>SUM(AA58:AA61)</f>
        <v>1280</v>
      </c>
      <c r="AB63" s="120" t="s">
        <v>10</v>
      </c>
      <c r="AC63" s="120"/>
      <c r="AD63" s="120"/>
      <c r="AE63" s="120"/>
      <c r="AF63" s="120"/>
      <c r="AG63" s="120"/>
      <c r="AH63" s="120"/>
      <c r="AI63" s="120"/>
      <c r="AJ63" s="120"/>
    </row>
    <row r="64" spans="1:36" ht="12.75">
      <c r="A64" s="1" t="s">
        <v>415</v>
      </c>
      <c r="B64" s="1"/>
      <c r="C64" s="125" t="s">
        <v>305</v>
      </c>
      <c r="D64" s="1">
        <v>36000</v>
      </c>
      <c r="E64" s="8">
        <v>565.2</v>
      </c>
      <c r="F64" s="8">
        <v>593.1</v>
      </c>
      <c r="G64" s="8">
        <f>F64-E64</f>
        <v>27.899999999999977</v>
      </c>
      <c r="H64" s="1" t="s">
        <v>416</v>
      </c>
      <c r="I64" s="35">
        <f>D64*G64</f>
        <v>1004399.9999999992</v>
      </c>
      <c r="J64" s="26" t="s">
        <v>299</v>
      </c>
      <c r="K64" s="24"/>
      <c r="L64" s="24"/>
      <c r="M64" s="24"/>
      <c r="N64" s="24"/>
      <c r="O64" s="22"/>
      <c r="P64" s="138">
        <v>187560</v>
      </c>
      <c r="Q64" s="24"/>
      <c r="R64" s="139" t="e">
        <f>R56*P64</f>
        <v>#VALUE!</v>
      </c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</row>
    <row r="65" spans="1:36" ht="12.75">
      <c r="A65" s="1" t="s">
        <v>417</v>
      </c>
      <c r="B65" s="1"/>
      <c r="C65" s="125" t="s">
        <v>322</v>
      </c>
      <c r="D65" s="1">
        <v>36000</v>
      </c>
      <c r="E65" s="8">
        <v>695</v>
      </c>
      <c r="F65" s="8">
        <v>740.6</v>
      </c>
      <c r="G65" s="8">
        <f>F65-E65</f>
        <v>45.60000000000002</v>
      </c>
      <c r="H65" s="1" t="s">
        <v>418</v>
      </c>
      <c r="I65" s="35">
        <f>D65*G65</f>
        <v>1641600.000000001</v>
      </c>
      <c r="J65" s="32" t="s">
        <v>85</v>
      </c>
      <c r="K65" s="23"/>
      <c r="L65" s="23"/>
      <c r="M65" s="23"/>
      <c r="N65" s="23"/>
      <c r="O65" s="13"/>
      <c r="P65" s="136">
        <f>SUM(P66:P71)</f>
        <v>607570</v>
      </c>
      <c r="Q65" s="23"/>
      <c r="R65" s="137" t="e">
        <f>SUM(R66:R71)</f>
        <v>#VALUE!</v>
      </c>
      <c r="S65" s="81" t="s">
        <v>103</v>
      </c>
      <c r="T65" s="120"/>
      <c r="U65" s="120"/>
      <c r="V65" s="120"/>
      <c r="W65" s="120"/>
      <c r="X65" s="120"/>
      <c r="Y65" s="120"/>
      <c r="Z65" s="120"/>
      <c r="AA65" s="124" t="e">
        <f>AA23</f>
        <v>#VALUE!</v>
      </c>
      <c r="AB65" s="120"/>
      <c r="AC65" s="120"/>
      <c r="AD65" s="120"/>
      <c r="AE65" s="120"/>
      <c r="AF65" s="120"/>
      <c r="AG65" s="120"/>
      <c r="AH65" s="120"/>
      <c r="AI65" s="120"/>
      <c r="AJ65" s="120"/>
    </row>
    <row r="66" spans="1:36" ht="12.75">
      <c r="A66" s="7" t="s">
        <v>24</v>
      </c>
      <c r="B66" s="1"/>
      <c r="C66" s="125" t="s">
        <v>306</v>
      </c>
      <c r="D66" s="1">
        <v>21000</v>
      </c>
      <c r="E66" s="8">
        <v>762.5</v>
      </c>
      <c r="F66" s="8">
        <v>800</v>
      </c>
      <c r="G66" s="8">
        <f>F66-E66</f>
        <v>37.5</v>
      </c>
      <c r="H66" s="1"/>
      <c r="I66" s="35">
        <f>G66*D66</f>
        <v>787500</v>
      </c>
      <c r="J66" s="16" t="s">
        <v>87</v>
      </c>
      <c r="K66" s="11"/>
      <c r="L66" s="11"/>
      <c r="M66" s="11"/>
      <c r="N66" s="11"/>
      <c r="O66" s="17"/>
      <c r="P66" s="131">
        <v>169830</v>
      </c>
      <c r="Q66" s="11"/>
      <c r="R66" s="134" t="e">
        <f>R56*P66</f>
        <v>#VALUE!</v>
      </c>
      <c r="S66" s="120"/>
      <c r="T66" s="120"/>
      <c r="U66" s="120"/>
      <c r="V66" s="120"/>
      <c r="W66" s="120"/>
      <c r="X66" s="120"/>
      <c r="Y66" s="120" t="s">
        <v>104</v>
      </c>
      <c r="Z66" s="120"/>
      <c r="AA66" s="124" t="e">
        <f>SUM(AA24:AA34)+SUM(AA48:AA55)+SUM(AA58:AA61)-SUM(AA38:AA44)</f>
        <v>#VALUE!</v>
      </c>
      <c r="AB66" s="120"/>
      <c r="AC66" s="120"/>
      <c r="AD66" s="120"/>
      <c r="AE66" s="120"/>
      <c r="AF66" s="120"/>
      <c r="AG66" s="120"/>
      <c r="AH66" s="120"/>
      <c r="AI66" s="120"/>
      <c r="AJ66" s="120"/>
    </row>
    <row r="67" spans="1:36" ht="12.75">
      <c r="A67" s="5" t="s">
        <v>396</v>
      </c>
      <c r="B67" s="5"/>
      <c r="C67" s="5"/>
      <c r="D67" s="1"/>
      <c r="E67" s="1"/>
      <c r="F67" s="1"/>
      <c r="G67" s="1"/>
      <c r="H67" s="1"/>
      <c r="I67" s="35">
        <f>(I64+I65)/100*0.75</f>
        <v>19845</v>
      </c>
      <c r="J67" s="16" t="s">
        <v>88</v>
      </c>
      <c r="K67" s="11"/>
      <c r="L67" s="11"/>
      <c r="M67" s="11"/>
      <c r="N67" s="11"/>
      <c r="O67" s="17"/>
      <c r="P67" s="131">
        <v>286790</v>
      </c>
      <c r="Q67" s="11"/>
      <c r="R67" s="134" t="e">
        <f>R56*P67</f>
        <v>#VALUE!</v>
      </c>
      <c r="S67" s="120"/>
      <c r="T67" s="120"/>
      <c r="U67" s="120"/>
      <c r="V67" s="120"/>
      <c r="W67" s="120"/>
      <c r="X67" s="120"/>
      <c r="Y67" s="120"/>
      <c r="Z67" s="120"/>
      <c r="AA67" s="120"/>
      <c r="AB67" s="143" t="s">
        <v>12</v>
      </c>
      <c r="AC67" s="145" t="s">
        <v>336</v>
      </c>
      <c r="AD67" s="146"/>
      <c r="AE67" s="147"/>
      <c r="AF67" s="102" t="s">
        <v>337</v>
      </c>
      <c r="AG67" s="150"/>
      <c r="AH67" s="150"/>
      <c r="AI67" s="150"/>
      <c r="AJ67" s="151"/>
    </row>
    <row r="68" spans="1:36" ht="12.75">
      <c r="A68" s="5" t="s">
        <v>114</v>
      </c>
      <c r="B68" s="5"/>
      <c r="C68" s="5"/>
      <c r="D68" s="1"/>
      <c r="E68" s="1"/>
      <c r="F68" s="1"/>
      <c r="G68" s="1"/>
      <c r="H68" s="1"/>
      <c r="I68" s="35">
        <f>I64+I65+I67</f>
        <v>2665845</v>
      </c>
      <c r="J68" s="16" t="s">
        <v>89</v>
      </c>
      <c r="K68" s="11"/>
      <c r="L68" s="11"/>
      <c r="M68" s="11"/>
      <c r="N68" s="11"/>
      <c r="O68" s="17"/>
      <c r="P68" s="131">
        <v>149280</v>
      </c>
      <c r="Q68" s="11"/>
      <c r="R68" s="134" t="e">
        <f>R56*P68</f>
        <v>#VALUE!</v>
      </c>
      <c r="S68" s="28" t="s">
        <v>27</v>
      </c>
      <c r="T68" s="28"/>
      <c r="U68" s="28"/>
      <c r="V68" s="28"/>
      <c r="W68" s="28"/>
      <c r="X68" s="28"/>
      <c r="Y68" s="28"/>
      <c r="Z68" s="28"/>
      <c r="AA68" s="63"/>
      <c r="AB68" s="173"/>
      <c r="AC68" s="159"/>
      <c r="AD68" s="160"/>
      <c r="AE68" s="161"/>
      <c r="AF68" s="171" t="s">
        <v>338</v>
      </c>
      <c r="AG68" s="171" t="s">
        <v>339</v>
      </c>
      <c r="AH68" s="171" t="s">
        <v>340</v>
      </c>
      <c r="AI68" s="171" t="s">
        <v>341</v>
      </c>
      <c r="AJ68" s="171" t="s">
        <v>342</v>
      </c>
    </row>
    <row r="69" spans="1:36" ht="12.75">
      <c r="A69" s="77" t="s">
        <v>5</v>
      </c>
      <c r="B69" s="1"/>
      <c r="C69" s="125" t="s">
        <v>307</v>
      </c>
      <c r="D69" s="1">
        <v>1800</v>
      </c>
      <c r="E69" s="8">
        <v>736.5</v>
      </c>
      <c r="F69" s="8">
        <v>819.9</v>
      </c>
      <c r="G69" s="8">
        <f aca="true" t="shared" si="9" ref="G69:G75">F69-E69</f>
        <v>83.39999999999998</v>
      </c>
      <c r="H69" s="1"/>
      <c r="I69" s="35">
        <f>G69*D69</f>
        <v>150119.99999999997</v>
      </c>
      <c r="J69" s="16" t="s">
        <v>90</v>
      </c>
      <c r="K69" s="11"/>
      <c r="L69" s="11"/>
      <c r="M69" s="11"/>
      <c r="N69" s="11"/>
      <c r="O69" s="17"/>
      <c r="P69" s="131">
        <v>350</v>
      </c>
      <c r="Q69" s="11"/>
      <c r="R69" s="134" t="e">
        <f>R56*P69</f>
        <v>#VALUE!</v>
      </c>
      <c r="S69" s="24" t="s">
        <v>380</v>
      </c>
      <c r="T69" s="24"/>
      <c r="U69" s="22"/>
      <c r="V69" s="97" t="s">
        <v>306</v>
      </c>
      <c r="W69" s="8">
        <f>F66</f>
        <v>800</v>
      </c>
      <c r="X69" s="8">
        <f>E66</f>
        <v>762.5</v>
      </c>
      <c r="Y69" s="1">
        <v>21000</v>
      </c>
      <c r="Z69" s="21"/>
      <c r="AA69" s="34">
        <f aca="true" t="shared" si="10" ref="AA69:AA80">(W69-X69)*Y69</f>
        <v>787500</v>
      </c>
      <c r="AB69" s="171" t="s">
        <v>73</v>
      </c>
      <c r="AC69" s="145" t="s">
        <v>112</v>
      </c>
      <c r="AD69" s="146"/>
      <c r="AE69" s="147"/>
      <c r="AF69" s="175" t="e">
        <f>AJ69+AI69+AH69+AG69</f>
        <v>#VALUE!</v>
      </c>
      <c r="AG69" s="175" t="e">
        <f>P8</f>
        <v>#VALUE!</v>
      </c>
      <c r="AH69" s="175"/>
      <c r="AI69" s="175"/>
      <c r="AJ69" s="171"/>
    </row>
    <row r="70" spans="1:36" ht="12.75">
      <c r="A70" s="78" t="s">
        <v>13</v>
      </c>
      <c r="B70" s="52"/>
      <c r="C70" s="74">
        <v>403134</v>
      </c>
      <c r="D70" s="1">
        <v>40</v>
      </c>
      <c r="E70" s="8"/>
      <c r="F70" s="8"/>
      <c r="G70" s="8">
        <f t="shared" si="9"/>
        <v>0</v>
      </c>
      <c r="H70" s="1"/>
      <c r="I70" s="35">
        <f>G70*D70</f>
        <v>0</v>
      </c>
      <c r="J70" s="16" t="s">
        <v>91</v>
      </c>
      <c r="K70" s="11"/>
      <c r="L70" s="11"/>
      <c r="M70" s="11"/>
      <c r="N70" s="11"/>
      <c r="O70" s="17"/>
      <c r="P70" s="131">
        <v>600</v>
      </c>
      <c r="Q70" s="11"/>
      <c r="R70" s="134" t="e">
        <f>R56*P70</f>
        <v>#VALUE!</v>
      </c>
      <c r="S70" s="24" t="s">
        <v>74</v>
      </c>
      <c r="T70" s="24"/>
      <c r="U70" s="22"/>
      <c r="V70" s="97" t="s">
        <v>307</v>
      </c>
      <c r="W70" s="8">
        <f>F69</f>
        <v>819.9</v>
      </c>
      <c r="X70" s="8">
        <f>E69</f>
        <v>736.5</v>
      </c>
      <c r="Y70" s="1">
        <v>1800</v>
      </c>
      <c r="Z70" s="12"/>
      <c r="AA70" s="46">
        <f t="shared" si="10"/>
        <v>150119.99999999997</v>
      </c>
      <c r="AB70" s="174" t="s">
        <v>58</v>
      </c>
      <c r="AC70" s="103" t="s">
        <v>385</v>
      </c>
      <c r="AD70" s="148"/>
      <c r="AE70" s="149"/>
      <c r="AF70" s="176"/>
      <c r="AG70" s="167"/>
      <c r="AH70" s="167"/>
      <c r="AI70" s="167"/>
      <c r="AJ70" s="169"/>
    </row>
    <row r="71" spans="1:36" ht="12.75">
      <c r="A71" s="55" t="s">
        <v>17</v>
      </c>
      <c r="B71" s="56"/>
      <c r="C71" s="121">
        <v>3491</v>
      </c>
      <c r="D71" s="1">
        <v>60</v>
      </c>
      <c r="E71" s="8"/>
      <c r="F71" s="8"/>
      <c r="G71" s="8">
        <f t="shared" si="9"/>
        <v>0</v>
      </c>
      <c r="H71" s="1"/>
      <c r="I71" s="35">
        <f>D71*G71</f>
        <v>0</v>
      </c>
      <c r="J71" s="14" t="s">
        <v>302</v>
      </c>
      <c r="K71" s="9"/>
      <c r="L71" s="9"/>
      <c r="M71" s="9"/>
      <c r="N71" s="9"/>
      <c r="O71" s="15"/>
      <c r="P71" s="50">
        <v>720</v>
      </c>
      <c r="Q71" s="9"/>
      <c r="R71" s="135" t="e">
        <f>R56*P71</f>
        <v>#VALUE!</v>
      </c>
      <c r="S71" s="24" t="s">
        <v>49</v>
      </c>
      <c r="T71" s="24"/>
      <c r="U71" s="22"/>
      <c r="V71" s="1">
        <v>205071</v>
      </c>
      <c r="W71" s="8">
        <f aca="true" t="shared" si="11" ref="W71:W80">F85</f>
        <v>1377.9</v>
      </c>
      <c r="X71" s="8">
        <f aca="true" t="shared" si="12" ref="X71:X80">E85</f>
        <v>1335.3</v>
      </c>
      <c r="Y71" s="21">
        <v>1800</v>
      </c>
      <c r="Z71" s="21"/>
      <c r="AA71" s="172">
        <f t="shared" si="10"/>
        <v>76680.00000000025</v>
      </c>
      <c r="AB71" s="179"/>
      <c r="AC71" s="160"/>
      <c r="AD71" s="160"/>
      <c r="AE71" s="160"/>
      <c r="AF71" s="180"/>
      <c r="AG71" s="180"/>
      <c r="AH71" s="181"/>
      <c r="AI71" s="180"/>
      <c r="AJ71" s="181"/>
    </row>
    <row r="72" spans="1:36" ht="12.75">
      <c r="A72" s="78" t="s">
        <v>347</v>
      </c>
      <c r="B72" s="85"/>
      <c r="C72" s="128" t="s">
        <v>53</v>
      </c>
      <c r="D72" s="22">
        <v>3600</v>
      </c>
      <c r="E72" s="8">
        <v>90</v>
      </c>
      <c r="F72" s="8">
        <v>90</v>
      </c>
      <c r="G72" s="8">
        <f t="shared" si="9"/>
        <v>0</v>
      </c>
      <c r="H72" s="1"/>
      <c r="I72" s="35">
        <f>D72*G72</f>
        <v>0</v>
      </c>
      <c r="J72" s="32" t="s">
        <v>303</v>
      </c>
      <c r="K72" s="23"/>
      <c r="L72" s="23"/>
      <c r="M72" s="23"/>
      <c r="N72" s="23"/>
      <c r="O72" s="13"/>
      <c r="P72" s="136">
        <f>P73+P74+P75+P76</f>
        <v>15120</v>
      </c>
      <c r="Q72" s="23"/>
      <c r="R72" s="137" t="e">
        <f>SUM(R73:R76)</f>
        <v>#VALUE!</v>
      </c>
      <c r="S72" s="21" t="s">
        <v>48</v>
      </c>
      <c r="T72" s="24"/>
      <c r="U72" s="22"/>
      <c r="V72" s="18">
        <v>205000</v>
      </c>
      <c r="W72" s="84">
        <f t="shared" si="11"/>
        <v>1078.2</v>
      </c>
      <c r="X72" s="84">
        <f t="shared" si="12"/>
        <v>1029.4</v>
      </c>
      <c r="Y72" s="21">
        <v>1800</v>
      </c>
      <c r="Z72" s="14"/>
      <c r="AA72" s="177">
        <f t="shared" si="10"/>
        <v>87839.99999999991</v>
      </c>
      <c r="AB72" s="179"/>
      <c r="AC72" s="160"/>
      <c r="AD72" s="160"/>
      <c r="AE72" s="160"/>
      <c r="AF72" s="180"/>
      <c r="AG72" s="181"/>
      <c r="AH72" s="181"/>
      <c r="AI72" s="180"/>
      <c r="AJ72" s="181"/>
    </row>
    <row r="73" spans="1:36" ht="12.75">
      <c r="A73" s="55" t="s">
        <v>348</v>
      </c>
      <c r="B73" s="10"/>
      <c r="C73" s="71"/>
      <c r="D73" s="22">
        <v>3600</v>
      </c>
      <c r="E73" s="8">
        <v>108</v>
      </c>
      <c r="F73" s="8">
        <v>108</v>
      </c>
      <c r="G73" s="8">
        <f t="shared" si="9"/>
        <v>0</v>
      </c>
      <c r="H73" s="1"/>
      <c r="I73" s="35">
        <f>D73*G73</f>
        <v>0</v>
      </c>
      <c r="J73" s="16"/>
      <c r="K73" s="11" t="s">
        <v>389</v>
      </c>
      <c r="L73" s="11"/>
      <c r="M73" s="11"/>
      <c r="N73" s="11"/>
      <c r="O73" s="17"/>
      <c r="P73" s="131">
        <v>5760</v>
      </c>
      <c r="Q73" s="11"/>
      <c r="R73" s="134" t="e">
        <f>R56*P73</f>
        <v>#VALUE!</v>
      </c>
      <c r="S73" s="21" t="s">
        <v>47</v>
      </c>
      <c r="T73" s="24"/>
      <c r="U73" s="22"/>
      <c r="V73" s="96">
        <v>205063</v>
      </c>
      <c r="W73" s="98">
        <f t="shared" si="11"/>
        <v>555.4</v>
      </c>
      <c r="X73" s="98">
        <f t="shared" si="12"/>
        <v>533</v>
      </c>
      <c r="Y73" s="102">
        <v>4800</v>
      </c>
      <c r="Z73" s="103"/>
      <c r="AA73" s="177">
        <f t="shared" si="10"/>
        <v>107519.99999999988</v>
      </c>
      <c r="AB73" s="179"/>
      <c r="AC73" s="160"/>
      <c r="AD73" s="160"/>
      <c r="AE73" s="160"/>
      <c r="AF73" s="180"/>
      <c r="AG73" s="180"/>
      <c r="AH73" s="181"/>
      <c r="AI73" s="180"/>
      <c r="AJ73" s="181"/>
    </row>
    <row r="74" spans="1:36" ht="12.75">
      <c r="A74" s="78" t="s">
        <v>349</v>
      </c>
      <c r="B74" s="85"/>
      <c r="C74" s="128" t="s">
        <v>54</v>
      </c>
      <c r="D74" s="22">
        <v>3600</v>
      </c>
      <c r="E74" s="8">
        <v>203.3</v>
      </c>
      <c r="F74" s="8">
        <v>231.8</v>
      </c>
      <c r="G74" s="8">
        <f t="shared" si="9"/>
        <v>28.5</v>
      </c>
      <c r="H74" s="1"/>
      <c r="I74" s="35">
        <f>D74*G74</f>
        <v>102600</v>
      </c>
      <c r="J74" s="16" t="s">
        <v>385</v>
      </c>
      <c r="K74" s="11"/>
      <c r="L74" s="11" t="s">
        <v>304</v>
      </c>
      <c r="M74" s="11"/>
      <c r="N74" s="11"/>
      <c r="O74" s="17"/>
      <c r="P74" s="131">
        <v>4160</v>
      </c>
      <c r="Q74" s="11"/>
      <c r="R74" s="134" t="e">
        <f>R56*P74</f>
        <v>#VALUE!</v>
      </c>
      <c r="S74" s="21" t="s">
        <v>51</v>
      </c>
      <c r="T74" s="24"/>
      <c r="U74" s="22"/>
      <c r="V74" s="1">
        <v>205065</v>
      </c>
      <c r="W74" s="8">
        <f t="shared" si="11"/>
        <v>121.1</v>
      </c>
      <c r="X74" s="8">
        <f t="shared" si="12"/>
        <v>107.4</v>
      </c>
      <c r="Y74" s="21">
        <v>4800</v>
      </c>
      <c r="Z74" s="14"/>
      <c r="AA74" s="177">
        <f t="shared" si="10"/>
        <v>65759.99999999994</v>
      </c>
      <c r="AB74" s="179"/>
      <c r="AC74" s="160"/>
      <c r="AD74" s="160"/>
      <c r="AE74" s="160"/>
      <c r="AF74" s="181"/>
      <c r="AG74" s="182"/>
      <c r="AH74" s="182"/>
      <c r="AI74" s="181"/>
      <c r="AJ74" s="181"/>
    </row>
    <row r="75" spans="1:36" ht="12.75">
      <c r="A75" s="53" t="s">
        <v>350</v>
      </c>
      <c r="B75" s="54"/>
      <c r="C75" s="72"/>
      <c r="D75" s="22">
        <v>3600</v>
      </c>
      <c r="E75" s="8">
        <v>233</v>
      </c>
      <c r="F75" s="8">
        <v>264.1</v>
      </c>
      <c r="G75" s="8">
        <f t="shared" si="9"/>
        <v>31.100000000000023</v>
      </c>
      <c r="H75" s="1"/>
      <c r="I75" s="35">
        <f>D75*G75</f>
        <v>111960.00000000009</v>
      </c>
      <c r="J75" s="16" t="s">
        <v>385</v>
      </c>
      <c r="K75" s="11"/>
      <c r="L75" s="11" t="s">
        <v>390</v>
      </c>
      <c r="M75" s="11"/>
      <c r="N75" s="11"/>
      <c r="O75" s="17"/>
      <c r="P75" s="131">
        <v>4800</v>
      </c>
      <c r="Q75" s="11"/>
      <c r="R75" s="134" t="e">
        <f>R56*P75</f>
        <v>#VALUE!</v>
      </c>
      <c r="S75" s="21" t="s">
        <v>50</v>
      </c>
      <c r="T75" s="24"/>
      <c r="U75" s="22"/>
      <c r="V75" s="1">
        <v>204946</v>
      </c>
      <c r="W75" s="8">
        <f t="shared" si="11"/>
        <v>9.2</v>
      </c>
      <c r="X75" s="8">
        <f t="shared" si="12"/>
        <v>6.6</v>
      </c>
      <c r="Y75" s="21">
        <v>2400</v>
      </c>
      <c r="Z75" s="14"/>
      <c r="AA75" s="177">
        <f t="shared" si="10"/>
        <v>6239.999999999999</v>
      </c>
      <c r="AB75" s="179"/>
      <c r="AC75" s="160"/>
      <c r="AD75" s="160"/>
      <c r="AE75" s="160"/>
      <c r="AF75" s="180"/>
      <c r="AG75" s="180"/>
      <c r="AH75" s="182"/>
      <c r="AI75" s="180"/>
      <c r="AJ75" s="181"/>
    </row>
    <row r="76" spans="10:36" ht="12.75">
      <c r="J76" s="14"/>
      <c r="K76" s="9"/>
      <c r="L76" s="9" t="s">
        <v>391</v>
      </c>
      <c r="M76" s="9"/>
      <c r="N76" s="9"/>
      <c r="O76" s="15"/>
      <c r="P76" s="50">
        <v>400</v>
      </c>
      <c r="Q76" s="9"/>
      <c r="R76" s="135" t="e">
        <f>R56*P76</f>
        <v>#VALUE!</v>
      </c>
      <c r="S76" s="21" t="s">
        <v>46</v>
      </c>
      <c r="T76" s="24"/>
      <c r="U76" s="22"/>
      <c r="V76" s="1">
        <v>204938</v>
      </c>
      <c r="W76" s="8">
        <f t="shared" si="11"/>
        <v>226.7</v>
      </c>
      <c r="X76" s="1">
        <f t="shared" si="12"/>
        <v>217.8</v>
      </c>
      <c r="Y76" s="21">
        <v>1800</v>
      </c>
      <c r="Z76" s="14"/>
      <c r="AA76" s="177">
        <f t="shared" si="10"/>
        <v>16019.99999999996</v>
      </c>
      <c r="AB76" s="179"/>
      <c r="AC76" s="160"/>
      <c r="AD76" s="160"/>
      <c r="AE76" s="160"/>
      <c r="AF76" s="180"/>
      <c r="AG76" s="181"/>
      <c r="AH76" s="182"/>
      <c r="AI76" s="180"/>
      <c r="AJ76" s="181"/>
    </row>
    <row r="77" spans="10:36" ht="12.75">
      <c r="J77" s="32" t="s">
        <v>92</v>
      </c>
      <c r="K77" s="23"/>
      <c r="L77" s="23"/>
      <c r="M77" s="23"/>
      <c r="N77" s="23"/>
      <c r="O77" s="13"/>
      <c r="P77" s="136">
        <f>P78+P79</f>
        <v>133660</v>
      </c>
      <c r="Q77" s="23"/>
      <c r="R77" s="137" t="e">
        <f>SUM(R78:R79)</f>
        <v>#VALUE!</v>
      </c>
      <c r="S77" s="21" t="s">
        <v>52</v>
      </c>
      <c r="T77" s="24"/>
      <c r="U77" s="22"/>
      <c r="V77" s="1">
        <v>204959</v>
      </c>
      <c r="W77" s="8">
        <f t="shared" si="11"/>
        <v>997.1</v>
      </c>
      <c r="X77" s="8">
        <f t="shared" si="12"/>
        <v>957.5</v>
      </c>
      <c r="Y77" s="21">
        <v>1800</v>
      </c>
      <c r="Z77" s="14"/>
      <c r="AA77" s="177">
        <f t="shared" si="10"/>
        <v>71280.00000000004</v>
      </c>
      <c r="AB77" s="179"/>
      <c r="AC77" s="160"/>
      <c r="AD77" s="160"/>
      <c r="AE77" s="160"/>
      <c r="AF77" s="180"/>
      <c r="AG77" s="180"/>
      <c r="AH77" s="182"/>
      <c r="AI77" s="180"/>
      <c r="AJ77" s="181"/>
    </row>
    <row r="78" spans="1:36" ht="12.75">
      <c r="A78" s="78" t="s">
        <v>328</v>
      </c>
      <c r="B78" s="85"/>
      <c r="C78" s="70" t="s">
        <v>412</v>
      </c>
      <c r="D78" s="22">
        <v>40</v>
      </c>
      <c r="E78" s="8"/>
      <c r="F78" s="8"/>
      <c r="G78" s="8">
        <f aca="true" t="shared" si="13" ref="G78:G83">F78-E78</f>
        <v>0</v>
      </c>
      <c r="H78" s="1"/>
      <c r="I78" s="35">
        <f aca="true" t="shared" si="14" ref="I78:I83">D78*G78</f>
        <v>0</v>
      </c>
      <c r="J78" s="16" t="s">
        <v>93</v>
      </c>
      <c r="K78" s="11"/>
      <c r="L78" s="11"/>
      <c r="M78" s="11"/>
      <c r="N78" s="11"/>
      <c r="O78" s="17"/>
      <c r="P78" s="131">
        <v>10200</v>
      </c>
      <c r="Q78" s="11"/>
      <c r="R78" s="134" t="e">
        <f>R56*P78</f>
        <v>#VALUE!</v>
      </c>
      <c r="S78" s="21" t="s">
        <v>55</v>
      </c>
      <c r="T78" s="24"/>
      <c r="U78" s="22"/>
      <c r="V78" s="1">
        <v>205066</v>
      </c>
      <c r="W78" s="8">
        <f t="shared" si="11"/>
        <v>216.5</v>
      </c>
      <c r="X78" s="8">
        <f t="shared" si="12"/>
        <v>203.6</v>
      </c>
      <c r="Y78" s="21">
        <v>1800</v>
      </c>
      <c r="Z78" s="14"/>
      <c r="AA78" s="177">
        <f t="shared" si="10"/>
        <v>23220.00000000001</v>
      </c>
      <c r="AB78" s="179"/>
      <c r="AC78" s="160"/>
      <c r="AD78" s="160"/>
      <c r="AE78" s="160"/>
      <c r="AF78" s="180"/>
      <c r="AG78" s="181"/>
      <c r="AH78" s="182"/>
      <c r="AI78" s="180"/>
      <c r="AJ78" s="181"/>
    </row>
    <row r="79" spans="1:36" ht="12.75">
      <c r="A79" s="79" t="s">
        <v>329</v>
      </c>
      <c r="B79" s="116"/>
      <c r="C79" s="126"/>
      <c r="D79" s="22">
        <v>40</v>
      </c>
      <c r="E79" s="8"/>
      <c r="F79" s="8"/>
      <c r="G79" s="8">
        <f t="shared" si="13"/>
        <v>0</v>
      </c>
      <c r="H79" s="1"/>
      <c r="I79" s="35">
        <f t="shared" si="14"/>
        <v>0</v>
      </c>
      <c r="J79" s="14" t="s">
        <v>94</v>
      </c>
      <c r="K79" s="9"/>
      <c r="L79" s="9"/>
      <c r="M79" s="9"/>
      <c r="N79" s="9"/>
      <c r="O79" s="15"/>
      <c r="P79" s="50">
        <v>123460</v>
      </c>
      <c r="Q79" s="9"/>
      <c r="R79" s="135" t="e">
        <f>R56*P79</f>
        <v>#VALUE!</v>
      </c>
      <c r="S79" s="21" t="s">
        <v>56</v>
      </c>
      <c r="T79" s="24"/>
      <c r="U79" s="22"/>
      <c r="V79" s="1">
        <v>205074</v>
      </c>
      <c r="W79" s="8">
        <f t="shared" si="11"/>
        <v>16.1</v>
      </c>
      <c r="X79" s="8">
        <f t="shared" si="12"/>
        <v>16.1</v>
      </c>
      <c r="Y79" s="21">
        <v>1800</v>
      </c>
      <c r="Z79" s="14"/>
      <c r="AA79" s="177">
        <f t="shared" si="10"/>
        <v>0</v>
      </c>
      <c r="AB79" s="179"/>
      <c r="AC79" s="160"/>
      <c r="AD79" s="160"/>
      <c r="AE79" s="160"/>
      <c r="AF79" s="180"/>
      <c r="AG79" s="180"/>
      <c r="AH79" s="182"/>
      <c r="AI79" s="180"/>
      <c r="AJ79" s="181"/>
    </row>
    <row r="80" spans="1:36" ht="12.75">
      <c r="A80" s="94" t="s">
        <v>115</v>
      </c>
      <c r="B80" s="11"/>
      <c r="C80" s="127">
        <v>54545702413</v>
      </c>
      <c r="D80" s="22">
        <v>40</v>
      </c>
      <c r="E80" s="8"/>
      <c r="F80" s="8"/>
      <c r="G80" s="8">
        <f t="shared" si="13"/>
        <v>0</v>
      </c>
      <c r="H80" s="1"/>
      <c r="I80" s="35">
        <f t="shared" si="14"/>
        <v>0</v>
      </c>
      <c r="J80" s="21" t="s">
        <v>392</v>
      </c>
      <c r="K80" s="24"/>
      <c r="L80" s="24"/>
      <c r="M80" s="24"/>
      <c r="N80" s="24"/>
      <c r="O80" s="22"/>
      <c r="P80" s="138">
        <v>11420</v>
      </c>
      <c r="Q80" s="24"/>
      <c r="R80" s="139" t="e">
        <f>R56*P80</f>
        <v>#VALUE!</v>
      </c>
      <c r="S80" s="21" t="s">
        <v>57</v>
      </c>
      <c r="T80" s="24"/>
      <c r="U80" s="22"/>
      <c r="V80" s="1">
        <v>205074</v>
      </c>
      <c r="W80" s="8">
        <f t="shared" si="11"/>
        <v>0</v>
      </c>
      <c r="X80" s="8">
        <f t="shared" si="12"/>
        <v>0</v>
      </c>
      <c r="Y80" s="21"/>
      <c r="Z80" s="14"/>
      <c r="AA80" s="177">
        <f t="shared" si="10"/>
        <v>0</v>
      </c>
      <c r="AB80" s="179"/>
      <c r="AC80" s="160"/>
      <c r="AD80" s="160"/>
      <c r="AE80" s="160"/>
      <c r="AF80" s="180"/>
      <c r="AG80" s="181"/>
      <c r="AH80" s="182"/>
      <c r="AI80" s="180"/>
      <c r="AJ80" s="181"/>
    </row>
    <row r="81" spans="1:36" ht="12.75">
      <c r="A81" s="95" t="s">
        <v>116</v>
      </c>
      <c r="B81" s="9"/>
      <c r="C81" s="126">
        <v>54545702413</v>
      </c>
      <c r="D81" s="22">
        <v>40</v>
      </c>
      <c r="E81" s="8"/>
      <c r="F81" s="8"/>
      <c r="G81" s="8">
        <f t="shared" si="13"/>
        <v>0</v>
      </c>
      <c r="H81" s="1"/>
      <c r="I81" s="35">
        <f t="shared" si="14"/>
        <v>0</v>
      </c>
      <c r="J81" s="12" t="s">
        <v>113</v>
      </c>
      <c r="K81" s="23"/>
      <c r="L81" s="23"/>
      <c r="M81" s="23"/>
      <c r="N81" s="23"/>
      <c r="O81" s="13"/>
      <c r="P81" s="136">
        <f>SUM(P82:P84)</f>
        <v>5880</v>
      </c>
      <c r="Q81" s="23"/>
      <c r="R81" s="137" t="e">
        <f>SUM(R82:R84)</f>
        <v>#VALUE!</v>
      </c>
      <c r="S81" s="5" t="s">
        <v>360</v>
      </c>
      <c r="T81" s="1"/>
      <c r="U81" s="1"/>
      <c r="V81" s="1"/>
      <c r="W81" s="1"/>
      <c r="X81" s="1"/>
      <c r="Y81" s="1"/>
      <c r="Z81" s="100"/>
      <c r="AA81" s="42">
        <f>SUM(AA68:AA80)</f>
        <v>1392180</v>
      </c>
      <c r="AB81" s="120"/>
      <c r="AC81" s="120"/>
      <c r="AD81" s="120"/>
      <c r="AE81" s="120"/>
      <c r="AF81" s="120"/>
      <c r="AG81" s="120"/>
      <c r="AH81" s="120"/>
      <c r="AI81" s="120"/>
      <c r="AJ81" s="120"/>
    </row>
    <row r="82" spans="1:36" ht="12.75">
      <c r="A82" s="94" t="s">
        <v>19</v>
      </c>
      <c r="B82" s="17"/>
      <c r="C82" s="73">
        <v>165138</v>
      </c>
      <c r="D82" s="1">
        <v>40</v>
      </c>
      <c r="E82" s="8"/>
      <c r="F82" s="8"/>
      <c r="G82" s="8">
        <f t="shared" si="13"/>
        <v>0</v>
      </c>
      <c r="H82" s="1"/>
      <c r="I82" s="35">
        <f t="shared" si="14"/>
        <v>0</v>
      </c>
      <c r="J82" s="16"/>
      <c r="K82" s="11" t="s">
        <v>393</v>
      </c>
      <c r="L82" s="11"/>
      <c r="M82" s="11"/>
      <c r="N82" s="11"/>
      <c r="O82" s="17"/>
      <c r="P82" s="131">
        <v>5160</v>
      </c>
      <c r="Q82" s="11"/>
      <c r="R82" s="134" t="e">
        <f>R56*P82</f>
        <v>#VALUE!</v>
      </c>
      <c r="S82" s="78" t="s">
        <v>59</v>
      </c>
      <c r="T82" s="85"/>
      <c r="U82" s="12"/>
      <c r="V82" s="24"/>
      <c r="W82" s="83"/>
      <c r="X82" s="83"/>
      <c r="Y82" s="83"/>
      <c r="Z82" s="23"/>
      <c r="AA82" s="46"/>
      <c r="AB82" s="120" t="s">
        <v>447</v>
      </c>
      <c r="AC82" s="120"/>
      <c r="AD82" s="120"/>
      <c r="AE82" s="120"/>
      <c r="AF82" s="120"/>
      <c r="AG82" s="120" t="s">
        <v>450</v>
      </c>
      <c r="AH82" s="120"/>
      <c r="AI82" s="120" t="s">
        <v>451</v>
      </c>
      <c r="AJ82" s="120"/>
    </row>
    <row r="83" spans="1:36" ht="12.75">
      <c r="A83" s="79" t="s">
        <v>20</v>
      </c>
      <c r="B83" s="15"/>
      <c r="C83" s="74">
        <v>62215</v>
      </c>
      <c r="D83" s="1">
        <v>40</v>
      </c>
      <c r="E83" s="8"/>
      <c r="F83" s="8"/>
      <c r="G83" s="8">
        <f t="shared" si="13"/>
        <v>0</v>
      </c>
      <c r="H83" s="1"/>
      <c r="I83" s="35">
        <f t="shared" si="14"/>
        <v>0</v>
      </c>
      <c r="J83" s="16"/>
      <c r="K83" s="11" t="s">
        <v>394</v>
      </c>
      <c r="L83" s="11"/>
      <c r="M83" s="11"/>
      <c r="N83" s="11"/>
      <c r="O83" s="17"/>
      <c r="P83" s="131">
        <v>720</v>
      </c>
      <c r="Q83" s="11"/>
      <c r="R83" s="134" t="e">
        <f>R56*P83</f>
        <v>#VALUE!</v>
      </c>
      <c r="S83" s="55" t="s">
        <v>61</v>
      </c>
      <c r="T83" s="104"/>
      <c r="U83" s="17"/>
      <c r="V83" s="15"/>
      <c r="W83" s="82">
        <f>F99</f>
        <v>0</v>
      </c>
      <c r="X83" s="82">
        <f>E99</f>
        <v>0</v>
      </c>
      <c r="Y83" s="113"/>
      <c r="Z83" s="12"/>
      <c r="AA83" s="46">
        <f>(W83-X83)*Y83</f>
        <v>0</v>
      </c>
      <c r="AB83" s="120"/>
      <c r="AC83" s="120"/>
      <c r="AD83" s="120"/>
      <c r="AE83" s="120"/>
      <c r="AF83" s="120"/>
      <c r="AG83" s="120"/>
      <c r="AH83" s="120"/>
      <c r="AI83" s="120"/>
      <c r="AJ83" s="120"/>
    </row>
    <row r="84" spans="1:36" ht="12.75">
      <c r="A84" s="5" t="s">
        <v>295</v>
      </c>
      <c r="B84" s="1"/>
      <c r="C84" s="1"/>
      <c r="D84" s="1"/>
      <c r="E84" s="1"/>
      <c r="F84" s="1"/>
      <c r="G84" s="1"/>
      <c r="H84" s="1"/>
      <c r="I84" s="47"/>
      <c r="J84" s="14"/>
      <c r="K84" s="9" t="s">
        <v>110</v>
      </c>
      <c r="L84" s="9"/>
      <c r="M84" s="9"/>
      <c r="N84" s="9"/>
      <c r="O84" s="15"/>
      <c r="P84" s="50">
        <v>0</v>
      </c>
      <c r="Q84" s="9"/>
      <c r="R84" s="135" t="e">
        <f>R56*P84</f>
        <v>#VALUE!</v>
      </c>
      <c r="S84" s="53" t="s">
        <v>62</v>
      </c>
      <c r="T84" s="105"/>
      <c r="U84" s="15"/>
      <c r="V84" s="13"/>
      <c r="W84" s="84">
        <f>F100</f>
        <v>0</v>
      </c>
      <c r="X84" s="84">
        <f>E100</f>
        <v>0</v>
      </c>
      <c r="Y84" s="113"/>
      <c r="Z84" s="12"/>
      <c r="AA84" s="46">
        <f>(W84-X84)*Y84</f>
        <v>0</v>
      </c>
      <c r="AB84" s="120"/>
      <c r="AC84" s="120"/>
      <c r="AD84" s="120"/>
      <c r="AE84" s="120"/>
      <c r="AF84" s="120"/>
      <c r="AG84" s="120"/>
      <c r="AH84" s="120"/>
      <c r="AI84" s="120"/>
      <c r="AJ84" s="120"/>
    </row>
    <row r="85" spans="1:27" ht="12.75">
      <c r="A85" s="1" t="s">
        <v>435</v>
      </c>
      <c r="B85" s="1"/>
      <c r="C85" s="75">
        <v>205071</v>
      </c>
      <c r="D85" s="1">
        <v>1800</v>
      </c>
      <c r="E85" s="8">
        <v>1335.3</v>
      </c>
      <c r="F85" s="8">
        <v>1377.9</v>
      </c>
      <c r="G85" s="8">
        <f aca="true" t="shared" si="15" ref="G85:G94">F85-E85</f>
        <v>42.600000000000136</v>
      </c>
      <c r="H85" s="1"/>
      <c r="I85" s="47">
        <f aca="true" t="shared" si="16" ref="I85:I94">D85*G85</f>
        <v>76680.00000000025</v>
      </c>
      <c r="J85" s="21" t="s">
        <v>21</v>
      </c>
      <c r="K85" s="24"/>
      <c r="L85" s="24"/>
      <c r="M85" s="24"/>
      <c r="N85" s="24"/>
      <c r="O85" s="22"/>
      <c r="P85" s="138">
        <v>11660</v>
      </c>
      <c r="Q85" s="24"/>
      <c r="R85" s="139" t="e">
        <f>R56*P85</f>
        <v>#VALUE!</v>
      </c>
      <c r="S85" s="94" t="s">
        <v>60</v>
      </c>
      <c r="T85" s="10"/>
      <c r="U85" s="16"/>
      <c r="V85" s="24"/>
      <c r="W85" s="24"/>
      <c r="X85" s="24"/>
      <c r="Y85" s="24"/>
      <c r="Z85" s="23"/>
      <c r="AA85" s="46"/>
    </row>
    <row r="86" spans="1:27" ht="12.75">
      <c r="A86" s="1" t="s">
        <v>436</v>
      </c>
      <c r="B86" s="1"/>
      <c r="C86" s="75">
        <v>205000</v>
      </c>
      <c r="D86" s="1">
        <v>1800</v>
      </c>
      <c r="E86" s="8">
        <v>1029.4</v>
      </c>
      <c r="F86" s="8">
        <v>1078.2</v>
      </c>
      <c r="G86" s="1">
        <f t="shared" si="15"/>
        <v>48.799999999999955</v>
      </c>
      <c r="H86" s="1"/>
      <c r="I86" s="35">
        <f t="shared" si="16"/>
        <v>87839.99999999991</v>
      </c>
      <c r="J86" s="21" t="s">
        <v>7</v>
      </c>
      <c r="K86" s="24"/>
      <c r="L86" s="24"/>
      <c r="M86" s="24"/>
      <c r="N86" s="24"/>
      <c r="O86" s="22"/>
      <c r="P86" s="138">
        <v>30120</v>
      </c>
      <c r="Q86" s="24"/>
      <c r="R86" s="139" t="e">
        <f>R56*P86</f>
        <v>#VALUE!</v>
      </c>
      <c r="S86" s="55" t="s">
        <v>63</v>
      </c>
      <c r="T86" s="104"/>
      <c r="U86" s="17"/>
      <c r="V86" s="15"/>
      <c r="W86" s="82">
        <f>F102</f>
        <v>0</v>
      </c>
      <c r="X86" s="82">
        <f>E102</f>
        <v>0</v>
      </c>
      <c r="Y86" s="113"/>
      <c r="Z86" s="12"/>
      <c r="AA86" s="46">
        <f>(W86-X86)*Y86</f>
        <v>0</v>
      </c>
    </row>
    <row r="87" spans="1:27" ht="12.75">
      <c r="A87" s="1" t="s">
        <v>438</v>
      </c>
      <c r="B87" s="1"/>
      <c r="C87" s="75">
        <v>205063</v>
      </c>
      <c r="D87" s="1">
        <v>4800</v>
      </c>
      <c r="E87" s="8">
        <v>533</v>
      </c>
      <c r="F87" s="8">
        <v>555.4</v>
      </c>
      <c r="G87" s="1">
        <f t="shared" si="15"/>
        <v>22.399999999999977</v>
      </c>
      <c r="H87" s="1"/>
      <c r="I87" s="35">
        <f t="shared" si="16"/>
        <v>107519.99999999988</v>
      </c>
      <c r="J87" s="21" t="s">
        <v>388</v>
      </c>
      <c r="K87" s="24"/>
      <c r="L87" s="24">
        <v>48900</v>
      </c>
      <c r="M87" s="24">
        <v>49050</v>
      </c>
      <c r="N87" s="24">
        <f>M87-L87</f>
        <v>150</v>
      </c>
      <c r="O87" s="22">
        <v>1</v>
      </c>
      <c r="P87" s="138">
        <f>N87*O87</f>
        <v>150</v>
      </c>
      <c r="Q87" s="24"/>
      <c r="R87" s="139" t="e">
        <f>R56*P87</f>
        <v>#VALUE!</v>
      </c>
      <c r="S87" s="55" t="s">
        <v>64</v>
      </c>
      <c r="T87" s="104"/>
      <c r="U87" s="15"/>
      <c r="V87" s="1"/>
      <c r="W87" s="84">
        <f>F103</f>
        <v>0</v>
      </c>
      <c r="X87" s="84">
        <f>E103</f>
        <v>0</v>
      </c>
      <c r="Y87" s="114"/>
      <c r="Z87" s="12"/>
      <c r="AA87" s="46">
        <f>(W87-X87)*Y87</f>
        <v>0</v>
      </c>
    </row>
    <row r="88" spans="1:27" ht="12.75">
      <c r="A88" s="1" t="s">
        <v>439</v>
      </c>
      <c r="B88" s="1"/>
      <c r="C88" s="75">
        <v>205065</v>
      </c>
      <c r="D88" s="1">
        <v>4800</v>
      </c>
      <c r="E88" s="8">
        <v>107.4</v>
      </c>
      <c r="F88" s="8">
        <v>121.1</v>
      </c>
      <c r="G88" s="8">
        <f t="shared" si="15"/>
        <v>13.699999999999989</v>
      </c>
      <c r="H88" s="1"/>
      <c r="I88" s="35">
        <f t="shared" si="16"/>
        <v>65759.99999999994</v>
      </c>
      <c r="J88" s="21" t="s">
        <v>8</v>
      </c>
      <c r="K88" s="24"/>
      <c r="L88" s="83">
        <v>8579</v>
      </c>
      <c r="M88" s="83">
        <v>8675</v>
      </c>
      <c r="N88" s="24">
        <f>M88-L88</f>
        <v>96</v>
      </c>
      <c r="O88" s="22">
        <v>60</v>
      </c>
      <c r="P88" s="138">
        <f>N88*O88</f>
        <v>5760</v>
      </c>
      <c r="Q88" s="24"/>
      <c r="R88" s="139" t="e">
        <f>R56*P88</f>
        <v>#VALUE!</v>
      </c>
      <c r="S88" s="88" t="s">
        <v>65</v>
      </c>
      <c r="T88" s="89"/>
      <c r="U88" s="110"/>
      <c r="V88" s="109" t="s">
        <v>385</v>
      </c>
      <c r="W88" s="106"/>
      <c r="X88" s="107"/>
      <c r="Y88" s="107"/>
      <c r="Z88" s="12"/>
      <c r="AA88" s="46"/>
    </row>
    <row r="89" spans="1:27" ht="12.75">
      <c r="A89" s="1" t="s">
        <v>453</v>
      </c>
      <c r="B89" s="1"/>
      <c r="C89" s="75">
        <v>204946</v>
      </c>
      <c r="D89" s="1">
        <v>2400</v>
      </c>
      <c r="E89" s="8">
        <v>6.6</v>
      </c>
      <c r="F89" s="8">
        <v>9.2</v>
      </c>
      <c r="G89" s="8">
        <f t="shared" si="15"/>
        <v>2.5999999999999996</v>
      </c>
      <c r="H89" s="1"/>
      <c r="I89" s="35">
        <f t="shared" si="16"/>
        <v>6239.999999999999</v>
      </c>
      <c r="J89" s="21" t="s">
        <v>6</v>
      </c>
      <c r="K89" s="24"/>
      <c r="L89" s="24"/>
      <c r="M89" s="24"/>
      <c r="N89" s="24"/>
      <c r="O89" s="22"/>
      <c r="P89" s="138">
        <v>22320</v>
      </c>
      <c r="Q89" s="24"/>
      <c r="R89" s="139" t="e">
        <f>R56*P89</f>
        <v>#VALUE!</v>
      </c>
      <c r="S89" s="79" t="s">
        <v>66</v>
      </c>
      <c r="T89" s="91"/>
      <c r="U89" s="111"/>
      <c r="V89" s="108"/>
      <c r="W89" s="108"/>
      <c r="X89" s="108"/>
      <c r="Y89" s="108"/>
      <c r="Z89" s="21"/>
      <c r="AA89" s="34">
        <f>I105</f>
        <v>0</v>
      </c>
    </row>
    <row r="90" spans="1:27" ht="12.75">
      <c r="A90" s="1" t="s">
        <v>454</v>
      </c>
      <c r="B90" s="1"/>
      <c r="C90" s="75">
        <v>204938</v>
      </c>
      <c r="D90" s="1">
        <v>1800</v>
      </c>
      <c r="E90" s="1">
        <v>217.8</v>
      </c>
      <c r="F90" s="8">
        <v>226.7</v>
      </c>
      <c r="G90" s="1">
        <f t="shared" si="15"/>
        <v>8.899999999999977</v>
      </c>
      <c r="H90" s="1"/>
      <c r="I90" s="35">
        <f t="shared" si="16"/>
        <v>16019.99999999996</v>
      </c>
      <c r="J90" s="21" t="s">
        <v>365</v>
      </c>
      <c r="K90" s="24"/>
      <c r="L90" s="24"/>
      <c r="M90" s="24"/>
      <c r="N90" s="24"/>
      <c r="O90" s="22"/>
      <c r="P90" s="138">
        <v>750</v>
      </c>
      <c r="Q90" s="24"/>
      <c r="R90" s="139" t="e">
        <f>R56*P90</f>
        <v>#VALUE!</v>
      </c>
      <c r="S90" s="4"/>
      <c r="T90" s="4"/>
      <c r="U90" s="4"/>
      <c r="V90" s="4"/>
      <c r="W90" s="4"/>
      <c r="X90" s="4"/>
      <c r="Y90" s="4"/>
      <c r="Z90" s="4"/>
      <c r="AA90" s="4"/>
    </row>
    <row r="91" spans="1:27" ht="12.75">
      <c r="A91" s="1" t="s">
        <v>455</v>
      </c>
      <c r="B91" s="1"/>
      <c r="C91" s="75">
        <v>204959</v>
      </c>
      <c r="D91" s="1">
        <v>1800</v>
      </c>
      <c r="E91" s="8">
        <v>957.5</v>
      </c>
      <c r="F91" s="8">
        <v>997.1</v>
      </c>
      <c r="G91" s="1">
        <f t="shared" si="15"/>
        <v>39.60000000000002</v>
      </c>
      <c r="H91" s="1"/>
      <c r="I91" s="35">
        <f t="shared" si="16"/>
        <v>71280.00000000004</v>
      </c>
      <c r="J91" s="21" t="s">
        <v>362</v>
      </c>
      <c r="K91" s="24"/>
      <c r="L91" s="24"/>
      <c r="M91" s="24"/>
      <c r="N91" s="24"/>
      <c r="O91" s="22"/>
      <c r="P91" s="138">
        <v>8500</v>
      </c>
      <c r="Q91" s="24"/>
      <c r="R91" s="139" t="e">
        <f>R56*P91</f>
        <v>#VALUE!</v>
      </c>
      <c r="S91" s="26" t="s">
        <v>369</v>
      </c>
      <c r="T91" s="24"/>
      <c r="U91" s="24"/>
      <c r="V91" s="24"/>
      <c r="W91" s="24"/>
      <c r="X91" s="24"/>
      <c r="Y91" s="24"/>
      <c r="Z91" s="21"/>
      <c r="AA91" s="115">
        <f>AA81-SUM(AA83:AA89)</f>
        <v>1392180</v>
      </c>
    </row>
    <row r="92" spans="1:27" ht="12.75">
      <c r="A92" s="1" t="s">
        <v>456</v>
      </c>
      <c r="B92" s="1"/>
      <c r="C92" s="75">
        <v>205066</v>
      </c>
      <c r="D92" s="1">
        <v>1800</v>
      </c>
      <c r="E92" s="8">
        <v>203.6</v>
      </c>
      <c r="F92" s="8">
        <v>216.5</v>
      </c>
      <c r="G92" s="1">
        <f t="shared" si="15"/>
        <v>12.900000000000006</v>
      </c>
      <c r="H92" s="1"/>
      <c r="I92" s="35">
        <f t="shared" si="16"/>
        <v>23220.00000000001</v>
      </c>
      <c r="J92" s="21" t="s">
        <v>107</v>
      </c>
      <c r="K92" s="24"/>
      <c r="L92" s="24"/>
      <c r="M92" s="24"/>
      <c r="N92" s="24"/>
      <c r="O92" s="22"/>
      <c r="P92" s="138">
        <v>350</v>
      </c>
      <c r="Q92" s="24"/>
      <c r="R92" s="139" t="e">
        <f>R56*P92</f>
        <v>#VALUE!</v>
      </c>
      <c r="S92" s="32" t="s">
        <v>28</v>
      </c>
      <c r="T92" s="28"/>
      <c r="U92" s="28"/>
      <c r="V92" s="28"/>
      <c r="W92" s="28"/>
      <c r="X92" s="28"/>
      <c r="Y92" s="28"/>
      <c r="Z92" s="28"/>
      <c r="AA92" s="63"/>
    </row>
    <row r="93" spans="1:27" ht="12.75">
      <c r="A93" s="1" t="s">
        <v>457</v>
      </c>
      <c r="B93" s="1"/>
      <c r="C93" s="75">
        <v>205074</v>
      </c>
      <c r="D93" s="1">
        <v>1800</v>
      </c>
      <c r="E93" s="8">
        <v>16.1</v>
      </c>
      <c r="F93" s="8">
        <v>16.1</v>
      </c>
      <c r="G93" s="1">
        <f t="shared" si="15"/>
        <v>0</v>
      </c>
      <c r="H93" s="1"/>
      <c r="I93" s="35">
        <f t="shared" si="16"/>
        <v>0</v>
      </c>
      <c r="J93" s="21" t="s">
        <v>395</v>
      </c>
      <c r="K93" s="24"/>
      <c r="L93" s="24"/>
      <c r="M93" s="24"/>
      <c r="N93" s="24"/>
      <c r="O93" s="22"/>
      <c r="P93" s="138">
        <v>0</v>
      </c>
      <c r="Q93" s="24"/>
      <c r="R93" s="139" t="e">
        <f>R56*P93</f>
        <v>#VALUE!</v>
      </c>
      <c r="S93" s="51" t="s">
        <v>36</v>
      </c>
      <c r="T93" s="85"/>
      <c r="U93" s="23"/>
      <c r="V93" s="129" t="s">
        <v>53</v>
      </c>
      <c r="W93" s="119">
        <f>F72</f>
        <v>90</v>
      </c>
      <c r="X93" s="8">
        <f>E72</f>
        <v>90</v>
      </c>
      <c r="Y93" s="1">
        <v>3600</v>
      </c>
      <c r="Z93" s="1"/>
      <c r="AA93" s="35">
        <f aca="true" t="shared" si="17" ref="AA93:AA100">(W93-X93)*Y93</f>
        <v>0</v>
      </c>
    </row>
    <row r="94" spans="1:27" ht="12.75">
      <c r="A94" s="1" t="s">
        <v>76</v>
      </c>
      <c r="B94" s="1"/>
      <c r="C94" s="75">
        <v>11414</v>
      </c>
      <c r="D94" s="1">
        <v>40</v>
      </c>
      <c r="E94" s="8"/>
      <c r="F94" s="8"/>
      <c r="G94" s="1">
        <f t="shared" si="15"/>
        <v>0</v>
      </c>
      <c r="H94" s="1"/>
      <c r="I94" s="35">
        <f t="shared" si="16"/>
        <v>0</v>
      </c>
      <c r="J94" s="21" t="s">
        <v>354</v>
      </c>
      <c r="K94" s="24"/>
      <c r="L94" s="24"/>
      <c r="M94" s="24"/>
      <c r="N94" s="24"/>
      <c r="O94" s="22"/>
      <c r="P94" s="138">
        <v>0</v>
      </c>
      <c r="Q94" s="24"/>
      <c r="R94" s="139" t="e">
        <f>R56*P94</f>
        <v>#VALUE!</v>
      </c>
      <c r="S94" s="53" t="s">
        <v>429</v>
      </c>
      <c r="T94" s="112"/>
      <c r="U94" s="9"/>
      <c r="V94" s="20"/>
      <c r="W94" s="119">
        <f>F73</f>
        <v>108</v>
      </c>
      <c r="X94" s="8">
        <f>E73</f>
        <v>108</v>
      </c>
      <c r="Y94" s="1">
        <v>3600</v>
      </c>
      <c r="Z94" s="1"/>
      <c r="AA94" s="33">
        <f t="shared" si="17"/>
        <v>0</v>
      </c>
    </row>
    <row r="95" spans="1:27" ht="12.75">
      <c r="A95" s="62"/>
      <c r="B95" s="18"/>
      <c r="C95" s="18"/>
      <c r="D95" s="18"/>
      <c r="E95" s="18"/>
      <c r="F95" s="18"/>
      <c r="G95" s="18"/>
      <c r="H95" s="18"/>
      <c r="I95" s="49"/>
      <c r="J95" s="21" t="s">
        <v>297</v>
      </c>
      <c r="K95" s="24"/>
      <c r="L95" s="83">
        <v>6925</v>
      </c>
      <c r="M95" s="83">
        <v>6998</v>
      </c>
      <c r="N95" s="24">
        <f>M95-L95</f>
        <v>73</v>
      </c>
      <c r="O95" s="22">
        <v>40</v>
      </c>
      <c r="P95" s="138">
        <f>N95*O95</f>
        <v>2920</v>
      </c>
      <c r="Q95" s="24"/>
      <c r="R95" s="139" t="e">
        <f>R56*P95</f>
        <v>#VALUE!</v>
      </c>
      <c r="S95" s="51" t="s">
        <v>37</v>
      </c>
      <c r="T95" s="85"/>
      <c r="U95" s="23"/>
      <c r="V95" s="129" t="s">
        <v>54</v>
      </c>
      <c r="W95" s="119">
        <f>F74</f>
        <v>231.8</v>
      </c>
      <c r="X95" s="8">
        <f>E74</f>
        <v>203.3</v>
      </c>
      <c r="Y95" s="1">
        <v>3600</v>
      </c>
      <c r="Z95" s="1"/>
      <c r="AA95" s="35">
        <f t="shared" si="17"/>
        <v>102600</v>
      </c>
    </row>
    <row r="96" spans="1:27" ht="12.75">
      <c r="A96" s="5" t="s">
        <v>427</v>
      </c>
      <c r="B96" s="1"/>
      <c r="C96" s="1"/>
      <c r="D96" s="1"/>
      <c r="E96" s="1"/>
      <c r="F96" s="1"/>
      <c r="G96" s="1"/>
      <c r="H96" s="21"/>
      <c r="I96" s="35">
        <f>SUM(I85:I95)</f>
        <v>454560</v>
      </c>
      <c r="J96" s="11"/>
      <c r="K96" s="4"/>
      <c r="L96" s="4"/>
      <c r="M96" s="4"/>
      <c r="N96" s="4"/>
      <c r="O96" s="4"/>
      <c r="P96" s="41"/>
      <c r="Q96" s="4"/>
      <c r="R96" s="4"/>
      <c r="S96" s="53" t="s">
        <v>356</v>
      </c>
      <c r="T96" s="112"/>
      <c r="U96" s="9"/>
      <c r="V96" s="20"/>
      <c r="W96" s="119">
        <f>F75</f>
        <v>264.1</v>
      </c>
      <c r="X96" s="8">
        <f>E75</f>
        <v>233</v>
      </c>
      <c r="Y96" s="1">
        <v>3600</v>
      </c>
      <c r="Z96" s="1"/>
      <c r="AA96" s="33">
        <f t="shared" si="17"/>
        <v>111960.00000000009</v>
      </c>
    </row>
    <row r="97" spans="9:27" ht="12.75">
      <c r="I97" s="142"/>
      <c r="J97" s="11"/>
      <c r="K97" s="4"/>
      <c r="L97" s="4"/>
      <c r="M97" s="4"/>
      <c r="N97" s="4"/>
      <c r="O97" s="4"/>
      <c r="P97" s="41"/>
      <c r="Q97" s="4"/>
      <c r="R97" s="4"/>
      <c r="S97" s="117" t="s">
        <v>38</v>
      </c>
      <c r="T97" s="85"/>
      <c r="U97" s="13"/>
      <c r="V97" s="22"/>
      <c r="W97" s="8">
        <f>F70</f>
        <v>0</v>
      </c>
      <c r="X97" s="8">
        <f>E70</f>
        <v>0</v>
      </c>
      <c r="Y97" s="1">
        <v>40</v>
      </c>
      <c r="Z97" s="1"/>
      <c r="AA97" s="33">
        <f t="shared" si="17"/>
        <v>0</v>
      </c>
    </row>
    <row r="98" spans="1:27" ht="12.75">
      <c r="A98" s="78" t="s">
        <v>59</v>
      </c>
      <c r="B98" s="85"/>
      <c r="C98" s="21"/>
      <c r="D98" s="24"/>
      <c r="E98" s="83"/>
      <c r="F98" s="83"/>
      <c r="G98" s="83"/>
      <c r="H98" s="24"/>
      <c r="I98" s="35"/>
      <c r="J98" s="11"/>
      <c r="K98" s="4"/>
      <c r="L98" s="4"/>
      <c r="M98" s="4"/>
      <c r="N98" s="4"/>
      <c r="O98" s="4"/>
      <c r="P98" s="41"/>
      <c r="Q98" s="4"/>
      <c r="R98" s="4"/>
      <c r="S98" s="55" t="s">
        <v>34</v>
      </c>
      <c r="T98" s="10"/>
      <c r="U98" s="17"/>
      <c r="V98" s="13"/>
      <c r="W98" s="8">
        <f>F71</f>
        <v>0</v>
      </c>
      <c r="X98" s="8">
        <f>E71</f>
        <v>0</v>
      </c>
      <c r="Y98" s="1">
        <v>60</v>
      </c>
      <c r="Z98" s="1"/>
      <c r="AA98" s="33">
        <f t="shared" si="17"/>
        <v>0</v>
      </c>
    </row>
    <row r="99" spans="1:27" ht="12.75">
      <c r="A99" s="55" t="s">
        <v>61</v>
      </c>
      <c r="B99" s="86"/>
      <c r="C99" s="73"/>
      <c r="D99" s="20"/>
      <c r="E99" s="82"/>
      <c r="F99" s="82"/>
      <c r="G99" s="8">
        <f>F99-E99</f>
        <v>0</v>
      </c>
      <c r="H99" s="14"/>
      <c r="I99" s="35">
        <f>D99*G99</f>
        <v>0</v>
      </c>
      <c r="J99" s="11"/>
      <c r="K99" s="4"/>
      <c r="L99" s="4"/>
      <c r="M99" s="4"/>
      <c r="N99" s="4"/>
      <c r="O99" s="4"/>
      <c r="P99" s="41"/>
      <c r="Q99" s="4"/>
      <c r="R99" s="4"/>
      <c r="S99" s="51" t="s">
        <v>39</v>
      </c>
      <c r="T99" s="23"/>
      <c r="U99" s="52"/>
      <c r="V99" s="52"/>
      <c r="W99" s="119">
        <f>F80</f>
        <v>0</v>
      </c>
      <c r="X99" s="8">
        <f>E80</f>
        <v>0</v>
      </c>
      <c r="Y99" s="22">
        <v>40</v>
      </c>
      <c r="Z99" s="1"/>
      <c r="AA99" s="33">
        <f t="shared" si="17"/>
        <v>0</v>
      </c>
    </row>
    <row r="100" spans="1:27" ht="12.75">
      <c r="A100" s="53" t="s">
        <v>62</v>
      </c>
      <c r="B100" s="87"/>
      <c r="C100" s="121"/>
      <c r="D100" s="18"/>
      <c r="E100" s="84"/>
      <c r="F100" s="84"/>
      <c r="G100" s="8">
        <f>F100-E100</f>
        <v>0</v>
      </c>
      <c r="H100" s="12"/>
      <c r="I100" s="35">
        <f>D100*G100</f>
        <v>0</v>
      </c>
      <c r="J100" s="11"/>
      <c r="K100" s="4" t="s">
        <v>9</v>
      </c>
      <c r="L100" s="4"/>
      <c r="M100" s="4"/>
      <c r="N100" s="4"/>
      <c r="O100" s="4"/>
      <c r="P100" s="41" t="e">
        <f>P8</f>
        <v>#VALUE!</v>
      </c>
      <c r="Q100" s="4"/>
      <c r="R100" s="140" t="e">
        <f>SUM(R62:R65)+R72+R77+R80+R81+SUM(R85:R95)</f>
        <v>#VALUE!</v>
      </c>
      <c r="S100" s="95" t="s">
        <v>102</v>
      </c>
      <c r="T100" s="9"/>
      <c r="U100" s="54"/>
      <c r="V100" s="15"/>
      <c r="W100" s="119">
        <f>F81</f>
        <v>0</v>
      </c>
      <c r="X100" s="8">
        <f>E81</f>
        <v>0</v>
      </c>
      <c r="Y100" s="22">
        <v>40</v>
      </c>
      <c r="Z100" s="1"/>
      <c r="AA100" s="33">
        <f t="shared" si="17"/>
        <v>0</v>
      </c>
    </row>
    <row r="101" spans="1:27" ht="12.75">
      <c r="A101" s="78" t="s">
        <v>60</v>
      </c>
      <c r="B101" s="85"/>
      <c r="C101" s="21"/>
      <c r="D101" s="24"/>
      <c r="E101" s="24"/>
      <c r="F101" s="24"/>
      <c r="G101" s="24"/>
      <c r="H101" s="24"/>
      <c r="I101" s="35"/>
      <c r="J101" s="11"/>
      <c r="K101" s="4"/>
      <c r="L101" s="4"/>
      <c r="M101" s="4"/>
      <c r="N101" s="4"/>
      <c r="O101" s="4"/>
      <c r="P101" s="41"/>
      <c r="Q101" s="4"/>
      <c r="R101" s="4"/>
      <c r="S101" s="118" t="s">
        <v>310</v>
      </c>
      <c r="T101" s="24"/>
      <c r="U101" s="24"/>
      <c r="V101" s="24"/>
      <c r="W101" s="24"/>
      <c r="X101" s="24"/>
      <c r="Y101" s="24"/>
      <c r="Z101" s="21"/>
      <c r="AA101" s="115">
        <f>SUM(AA94:AA99)</f>
        <v>214560.0000000001</v>
      </c>
    </row>
    <row r="102" spans="1:27" ht="12.75">
      <c r="A102" s="55" t="s">
        <v>63</v>
      </c>
      <c r="B102" s="86"/>
      <c r="C102" s="72"/>
      <c r="D102" s="20"/>
      <c r="E102" s="82"/>
      <c r="F102" s="82"/>
      <c r="G102" s="8">
        <f>F102-E102</f>
        <v>0</v>
      </c>
      <c r="H102" s="14"/>
      <c r="I102" s="35">
        <f>D102*G102</f>
        <v>0</v>
      </c>
      <c r="J102" s="11"/>
      <c r="K102" s="4"/>
      <c r="L102" s="4"/>
      <c r="N102" s="4"/>
      <c r="O102" s="4"/>
      <c r="P102" s="4"/>
      <c r="Q102" s="4"/>
      <c r="R102" s="4"/>
      <c r="S102" s="120"/>
      <c r="T102" s="120"/>
      <c r="U102" s="120"/>
      <c r="V102" s="120"/>
      <c r="W102" s="120"/>
      <c r="X102" s="120"/>
      <c r="Y102" s="120"/>
      <c r="Z102" s="120"/>
      <c r="AA102" s="120"/>
    </row>
    <row r="103" spans="1:27" ht="12.75">
      <c r="A103" s="55" t="s">
        <v>64</v>
      </c>
      <c r="B103" s="86"/>
      <c r="C103" s="70"/>
      <c r="D103" s="18"/>
      <c r="E103" s="84"/>
      <c r="F103" s="84"/>
      <c r="G103" s="84">
        <f>F103-E103</f>
        <v>0</v>
      </c>
      <c r="H103" s="12"/>
      <c r="I103" s="35">
        <f>D103*G103</f>
        <v>0</v>
      </c>
      <c r="J103" s="11" t="s">
        <v>353</v>
      </c>
      <c r="K103" s="4"/>
      <c r="L103" s="4"/>
      <c r="M103" s="4"/>
      <c r="N103" s="4"/>
      <c r="O103" s="4"/>
      <c r="P103" s="4"/>
      <c r="Q103" s="4"/>
      <c r="R103" s="4"/>
      <c r="S103" s="32" t="s">
        <v>29</v>
      </c>
      <c r="T103" s="28"/>
      <c r="U103" s="28"/>
      <c r="V103" s="28"/>
      <c r="W103" s="28"/>
      <c r="X103" s="28"/>
      <c r="Y103" s="28"/>
      <c r="Z103" s="28"/>
      <c r="AA103" s="63"/>
    </row>
    <row r="104" spans="1:27" ht="12.75">
      <c r="A104" s="88" t="s">
        <v>65</v>
      </c>
      <c r="B104" s="89"/>
      <c r="C104" s="12" t="s">
        <v>111</v>
      </c>
      <c r="D104" s="23"/>
      <c r="E104" s="92"/>
      <c r="F104" s="92"/>
      <c r="G104" s="93"/>
      <c r="H104" s="24"/>
      <c r="I104" s="35"/>
      <c r="J104" s="11"/>
      <c r="K104" s="4"/>
      <c r="L104" s="4"/>
      <c r="M104" s="4"/>
      <c r="N104" s="4"/>
      <c r="O104" s="4"/>
      <c r="P104" s="4"/>
      <c r="Q104" s="4"/>
      <c r="R104" s="4"/>
      <c r="S104" s="51" t="s">
        <v>30</v>
      </c>
      <c r="T104" s="85"/>
      <c r="U104" s="121"/>
      <c r="V104" s="121"/>
      <c r="W104" s="8"/>
      <c r="X104" s="8"/>
      <c r="Y104" s="22"/>
      <c r="Z104" s="1"/>
      <c r="AA104" s="35">
        <f>(W104-X104)*Y104</f>
        <v>0</v>
      </c>
    </row>
    <row r="105" spans="1:27" ht="12.75">
      <c r="A105" s="79" t="s">
        <v>66</v>
      </c>
      <c r="B105" s="91"/>
      <c r="C105" s="14" t="s">
        <v>100</v>
      </c>
      <c r="D105" s="9"/>
      <c r="E105" s="9"/>
      <c r="F105" s="9"/>
      <c r="G105" s="15"/>
      <c r="H105" s="9"/>
      <c r="I105" s="35"/>
      <c r="J105" s="11"/>
      <c r="K105" s="4"/>
      <c r="L105" s="4"/>
      <c r="M105" s="4"/>
      <c r="N105" s="4"/>
      <c r="O105" s="4"/>
      <c r="P105" s="4"/>
      <c r="Q105" s="4"/>
      <c r="R105" s="4"/>
      <c r="S105" s="123" t="s">
        <v>31</v>
      </c>
      <c r="T105" s="122"/>
      <c r="U105" s="56"/>
      <c r="V105" s="54"/>
      <c r="W105" s="8"/>
      <c r="X105" s="8"/>
      <c r="Y105" s="22"/>
      <c r="Z105" s="1"/>
      <c r="AA105" s="33">
        <f>(W105-X105)*Y105</f>
        <v>0</v>
      </c>
    </row>
    <row r="106" spans="1:27" ht="12.75">
      <c r="A106" s="5"/>
      <c r="B106" s="1"/>
      <c r="C106" s="1"/>
      <c r="D106" s="1"/>
      <c r="E106" s="1"/>
      <c r="F106" s="1"/>
      <c r="G106" s="1"/>
      <c r="H106" s="21"/>
      <c r="I106" s="35"/>
      <c r="J106" s="11"/>
      <c r="K106" s="4"/>
      <c r="L106" s="4"/>
      <c r="M106" s="4"/>
      <c r="N106" s="4"/>
      <c r="O106" s="4"/>
      <c r="P106" s="4"/>
      <c r="Q106" s="4"/>
      <c r="R106" s="4"/>
      <c r="S106" s="51" t="s">
        <v>32</v>
      </c>
      <c r="T106" s="23"/>
      <c r="U106" s="13"/>
      <c r="V106" s="15"/>
      <c r="W106" s="8"/>
      <c r="X106" s="8"/>
      <c r="Y106" s="1"/>
      <c r="Z106" s="1"/>
      <c r="AA106" s="33">
        <f>(W106-X106)*Y106</f>
        <v>0</v>
      </c>
    </row>
    <row r="107" spans="1:27" ht="12.75">
      <c r="A107" s="1" t="s">
        <v>75</v>
      </c>
      <c r="B107" s="1"/>
      <c r="C107" s="1"/>
      <c r="D107" s="1"/>
      <c r="E107" s="1"/>
      <c r="F107" s="1"/>
      <c r="G107" s="1"/>
      <c r="H107" s="21"/>
      <c r="I107" s="35"/>
      <c r="J107" s="11"/>
      <c r="K107" s="4"/>
      <c r="L107" s="4"/>
      <c r="M107" s="4"/>
      <c r="N107" s="4"/>
      <c r="O107" s="4"/>
      <c r="P107" s="4"/>
      <c r="Q107" s="4"/>
      <c r="R107" s="4"/>
      <c r="S107" s="79" t="s">
        <v>33</v>
      </c>
      <c r="T107" s="9"/>
      <c r="U107" s="15"/>
      <c r="V107" s="22"/>
      <c r="W107" s="8"/>
      <c r="X107" s="8"/>
      <c r="Y107" s="1"/>
      <c r="Z107" s="1"/>
      <c r="AA107" s="33">
        <f>(W107-X107)*Y107</f>
        <v>0</v>
      </c>
    </row>
    <row r="108" spans="1:18" ht="12.75">
      <c r="A108" s="6" t="s">
        <v>25</v>
      </c>
      <c r="B108" s="2"/>
      <c r="C108" s="2"/>
      <c r="D108" s="2"/>
      <c r="E108" s="2"/>
      <c r="F108" s="2"/>
      <c r="G108" s="2"/>
      <c r="H108" s="141"/>
      <c r="I108" s="35">
        <f>SUM(I69:I95)-SUM(I99:I105)</f>
        <v>819240</v>
      </c>
      <c r="J108" s="11"/>
      <c r="K108" s="4"/>
      <c r="L108" s="4"/>
      <c r="M108" s="4"/>
      <c r="N108" s="4"/>
      <c r="O108" s="4"/>
      <c r="P108" s="4"/>
      <c r="Q108" s="4"/>
      <c r="R108" s="4"/>
    </row>
    <row r="109" spans="1:27" ht="12.75">
      <c r="A109" s="1" t="s">
        <v>75</v>
      </c>
      <c r="B109" s="1"/>
      <c r="C109" s="1"/>
      <c r="D109" s="1"/>
      <c r="E109" s="1"/>
      <c r="F109" s="1"/>
      <c r="G109" s="1"/>
      <c r="H109" s="21"/>
      <c r="I109" s="35"/>
      <c r="J109" s="11"/>
      <c r="K109" s="4"/>
      <c r="L109" s="4"/>
      <c r="M109" s="4"/>
      <c r="N109" s="4"/>
      <c r="O109" s="4"/>
      <c r="P109" s="4"/>
      <c r="Q109" s="4"/>
      <c r="R109" s="4"/>
      <c r="S109" s="118" t="s">
        <v>318</v>
      </c>
      <c r="T109" s="24"/>
      <c r="U109" s="24"/>
      <c r="V109" s="24"/>
      <c r="W109" s="24"/>
      <c r="X109" s="24"/>
      <c r="Y109" s="24"/>
      <c r="Z109" s="21"/>
      <c r="AA109" s="115">
        <f>SUM(AA104:AA107)</f>
        <v>0</v>
      </c>
    </row>
    <row r="110" spans="1:27" ht="12.75">
      <c r="A110" s="5" t="s">
        <v>426</v>
      </c>
      <c r="B110" s="1"/>
      <c r="C110" s="1"/>
      <c r="D110" s="1"/>
      <c r="E110" s="1"/>
      <c r="F110" s="1"/>
      <c r="G110" s="1"/>
      <c r="H110" s="21"/>
      <c r="I110" s="35">
        <f>I68-I108</f>
        <v>1846605</v>
      </c>
      <c r="J110" s="11"/>
      <c r="K110" s="4"/>
      <c r="L110" s="4"/>
      <c r="M110" s="4"/>
      <c r="N110" s="4"/>
      <c r="O110" s="4"/>
      <c r="P110" s="4"/>
      <c r="Q110" s="4"/>
      <c r="R110" s="4"/>
      <c r="S110" s="120"/>
      <c r="T110" s="120"/>
      <c r="U110" s="120"/>
      <c r="V110" s="120"/>
      <c r="W110" s="120"/>
      <c r="X110" s="120"/>
      <c r="Y110" s="120"/>
      <c r="Z110" s="120"/>
      <c r="AA110" s="120"/>
    </row>
    <row r="111" spans="1:27" ht="13.5">
      <c r="A111" s="1" t="s">
        <v>26</v>
      </c>
      <c r="B111" s="5"/>
      <c r="C111" s="1"/>
      <c r="D111" s="1"/>
      <c r="E111" s="8"/>
      <c r="F111" s="8"/>
      <c r="G111" s="1"/>
      <c r="H111" s="21"/>
      <c r="I111" s="35"/>
      <c r="J111" s="11"/>
      <c r="K111" s="4"/>
      <c r="L111" s="4"/>
      <c r="M111" s="4"/>
      <c r="N111" s="4"/>
      <c r="O111" s="4"/>
      <c r="P111" s="4"/>
      <c r="Q111" s="4"/>
      <c r="R111" s="4"/>
      <c r="S111" s="29" t="s">
        <v>67</v>
      </c>
      <c r="T111" s="25"/>
      <c r="U111" s="25"/>
      <c r="V111" s="25"/>
      <c r="W111" s="25"/>
      <c r="X111" s="25"/>
      <c r="Y111" s="80" t="e">
        <f>AA65+AA66</f>
        <v>#VALUE!</v>
      </c>
      <c r="Z111" s="4"/>
      <c r="AA111" s="25" t="s">
        <v>294</v>
      </c>
    </row>
    <row r="112" spans="1:27" ht="12.75">
      <c r="A112" s="4" t="s">
        <v>352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0:27" ht="12.75">
      <c r="J113" s="4"/>
      <c r="K113" s="4"/>
      <c r="L113" s="4"/>
      <c r="M113" s="4"/>
      <c r="N113" s="4"/>
      <c r="O113" s="4"/>
      <c r="P113" s="4"/>
      <c r="Q113" s="4"/>
      <c r="R113" s="4"/>
      <c r="S113" s="4" t="s">
        <v>98</v>
      </c>
      <c r="T113" s="4"/>
      <c r="U113" s="4"/>
      <c r="V113" s="4"/>
      <c r="W113" s="4"/>
      <c r="X113" s="4"/>
      <c r="Y113" s="4"/>
      <c r="Z113" s="4"/>
      <c r="AA113" s="4"/>
    </row>
    <row r="114" spans="19:27" ht="12.75">
      <c r="S114" s="4" t="s">
        <v>101</v>
      </c>
      <c r="T114" s="4"/>
      <c r="U114" s="4"/>
      <c r="V114" s="4"/>
      <c r="W114" s="4"/>
      <c r="X114" s="4"/>
      <c r="Y114" s="4"/>
      <c r="Z114" s="4"/>
      <c r="AA114" s="4"/>
    </row>
    <row r="115" spans="19:27" ht="12.75">
      <c r="S115" s="4" t="s">
        <v>359</v>
      </c>
      <c r="T115" s="4"/>
      <c r="U115" s="4"/>
      <c r="V115" s="4"/>
      <c r="W115" s="4"/>
      <c r="X115" s="4"/>
      <c r="Y115" s="4" t="s">
        <v>368</v>
      </c>
      <c r="Z115" s="4"/>
      <c r="AA115" s="4"/>
    </row>
    <row r="116" spans="31:36" ht="12.75">
      <c r="AE116" s="4"/>
      <c r="AF116" s="4"/>
      <c r="AG116" s="4"/>
      <c r="AH116" s="4"/>
      <c r="AI116" s="4"/>
      <c r="AJ116" s="4"/>
    </row>
    <row r="117" spans="31:36" ht="12.75">
      <c r="AE117" s="4"/>
      <c r="AF117" s="4"/>
      <c r="AG117" s="4"/>
      <c r="AH117" s="4"/>
      <c r="AI117" s="4"/>
      <c r="AJ117" s="4"/>
    </row>
    <row r="118" spans="31:36" ht="12.75">
      <c r="AE118" s="4"/>
      <c r="AF118" s="4"/>
      <c r="AG118" s="4"/>
      <c r="AH118" s="4"/>
      <c r="AI118" s="4"/>
      <c r="AJ118" s="4"/>
    </row>
    <row r="119" spans="31:36" ht="12.75">
      <c r="AE119" s="4"/>
      <c r="AF119" s="4"/>
      <c r="AG119" s="4"/>
      <c r="AH119" s="4"/>
      <c r="AI119" s="4"/>
      <c r="AJ119" s="4"/>
    </row>
    <row r="120" spans="31:36" ht="12.75">
      <c r="AE120" s="4"/>
      <c r="AF120" s="4"/>
      <c r="AG120" s="4"/>
      <c r="AH120" s="4"/>
      <c r="AI120" s="4"/>
      <c r="AJ120" s="4"/>
    </row>
    <row r="121" spans="31:36" ht="12.75">
      <c r="AE121" s="4"/>
      <c r="AF121" s="4"/>
      <c r="AG121" s="4"/>
      <c r="AH121" s="4"/>
      <c r="AI121" s="4"/>
      <c r="AJ121" s="4"/>
    </row>
    <row r="122" spans="31:36" ht="12.75">
      <c r="AE122" s="4"/>
      <c r="AF122" s="4"/>
      <c r="AG122" s="4"/>
      <c r="AH122" s="4"/>
      <c r="AI122" s="4"/>
      <c r="AJ122" s="4"/>
    </row>
    <row r="123" spans="31:36" ht="12.75">
      <c r="AE123" s="4"/>
      <c r="AF123" s="4"/>
      <c r="AG123" s="4"/>
      <c r="AH123" s="4"/>
      <c r="AI123" s="4"/>
      <c r="AJ123" s="4"/>
    </row>
    <row r="124" spans="31:36" ht="12.75">
      <c r="AE124" s="4"/>
      <c r="AF124" s="4"/>
      <c r="AG124" s="4"/>
      <c r="AH124" s="4"/>
      <c r="AI124" s="4"/>
      <c r="AJ124" s="4"/>
    </row>
    <row r="125" spans="31:36" ht="12.75">
      <c r="AE125" s="4"/>
      <c r="AF125" s="4"/>
      <c r="AG125" s="4"/>
      <c r="AH125" s="4"/>
      <c r="AI125" s="4"/>
      <c r="AJ125" s="4"/>
    </row>
    <row r="126" spans="31:36" ht="12.75">
      <c r="AE126" s="4"/>
      <c r="AF126" s="4"/>
      <c r="AG126" s="4"/>
      <c r="AH126" s="4"/>
      <c r="AI126" s="4"/>
      <c r="AJ126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6.25390625" style="0" customWidth="1"/>
    <col min="2" max="2" width="8.625" style="0" customWidth="1"/>
    <col min="3" max="3" width="11.25390625" style="0" customWidth="1"/>
    <col min="4" max="4" width="9.75390625" style="0" customWidth="1"/>
    <col min="5" max="5" width="10.375" style="0" customWidth="1"/>
    <col min="6" max="6" width="10.25390625" style="0" customWidth="1"/>
    <col min="7" max="7" width="10.125" style="0" customWidth="1"/>
    <col min="8" max="8" width="10.375" style="0" customWidth="1"/>
    <col min="9" max="9" width="31.625" style="0" customWidth="1"/>
  </cols>
  <sheetData>
    <row r="1" spans="1:21" ht="15.75">
      <c r="A1" s="330"/>
      <c r="B1" s="330"/>
      <c r="C1" s="330"/>
      <c r="D1" s="330"/>
      <c r="E1" s="330"/>
      <c r="F1" s="330"/>
      <c r="G1" s="330"/>
      <c r="H1" s="330"/>
      <c r="I1" s="331"/>
      <c r="J1" s="11"/>
      <c r="K1" s="11"/>
      <c r="L1" s="11"/>
      <c r="M1" s="11"/>
      <c r="N1" s="11"/>
      <c r="O1" s="11"/>
      <c r="P1" s="11"/>
      <c r="Q1" s="195"/>
      <c r="R1" s="194"/>
      <c r="S1" s="194"/>
      <c r="T1" s="194"/>
      <c r="U1" s="194"/>
    </row>
    <row r="2" spans="1:21" ht="15.75">
      <c r="A2" s="330"/>
      <c r="B2" s="330" t="s">
        <v>496</v>
      </c>
      <c r="C2" s="330"/>
      <c r="D2" s="330"/>
      <c r="E2" s="330"/>
      <c r="F2" s="330"/>
      <c r="G2" s="330"/>
      <c r="H2" s="330"/>
      <c r="I2" s="331"/>
      <c r="J2" s="11"/>
      <c r="K2" s="11"/>
      <c r="L2" s="11"/>
      <c r="M2" s="11"/>
      <c r="N2" s="11"/>
      <c r="O2" s="11"/>
      <c r="P2" s="11"/>
      <c r="Q2" s="195"/>
      <c r="R2" s="194"/>
      <c r="S2" s="194"/>
      <c r="T2" s="194"/>
      <c r="U2" s="194"/>
    </row>
    <row r="3" spans="1:21" ht="15.75">
      <c r="A3" s="329"/>
      <c r="B3" s="329"/>
      <c r="C3" s="329"/>
      <c r="D3" s="329"/>
      <c r="E3" s="329"/>
      <c r="F3" s="332"/>
      <c r="G3" s="329"/>
      <c r="H3" s="329"/>
      <c r="I3" s="333"/>
      <c r="J3" s="11"/>
      <c r="K3" s="11"/>
      <c r="L3" s="11"/>
      <c r="M3" s="11"/>
      <c r="N3" s="11"/>
      <c r="O3" s="334"/>
      <c r="P3" s="31"/>
      <c r="Q3" s="195"/>
      <c r="R3" s="194"/>
      <c r="S3" s="194"/>
      <c r="T3" s="194"/>
      <c r="U3" s="194"/>
    </row>
    <row r="4" spans="1:21" ht="15.75">
      <c r="A4" s="335" t="s">
        <v>335</v>
      </c>
      <c r="B4" s="335" t="s">
        <v>497</v>
      </c>
      <c r="C4" s="336" t="s">
        <v>498</v>
      </c>
      <c r="D4" s="337"/>
      <c r="E4" s="337"/>
      <c r="F4" s="337"/>
      <c r="G4" s="337"/>
      <c r="H4" s="337"/>
      <c r="I4" s="338"/>
      <c r="J4" s="24"/>
      <c r="K4" s="24"/>
      <c r="L4" s="24"/>
      <c r="M4" s="24"/>
      <c r="N4" s="24"/>
      <c r="O4" s="22"/>
      <c r="P4" s="339" t="s">
        <v>499</v>
      </c>
      <c r="Q4" s="195"/>
      <c r="R4" s="194"/>
      <c r="S4" s="194"/>
      <c r="T4" s="194"/>
      <c r="U4" s="194"/>
    </row>
    <row r="5" spans="1:21" ht="15.75">
      <c r="A5" s="340"/>
      <c r="B5" s="340"/>
      <c r="C5" s="341" t="s">
        <v>483</v>
      </c>
      <c r="D5" s="341" t="s">
        <v>69</v>
      </c>
      <c r="E5" s="341" t="s">
        <v>70</v>
      </c>
      <c r="F5" s="341" t="s">
        <v>71</v>
      </c>
      <c r="G5" s="341" t="s">
        <v>387</v>
      </c>
      <c r="H5" s="341" t="s">
        <v>138</v>
      </c>
      <c r="I5" s="342" t="s">
        <v>386</v>
      </c>
      <c r="J5" s="342" t="s">
        <v>72</v>
      </c>
      <c r="K5" s="342" t="s">
        <v>140</v>
      </c>
      <c r="L5" s="342" t="s">
        <v>73</v>
      </c>
      <c r="M5" s="342" t="s">
        <v>298</v>
      </c>
      <c r="N5" s="342" t="s">
        <v>480</v>
      </c>
      <c r="O5" s="342" t="s">
        <v>319</v>
      </c>
      <c r="P5" s="343" t="s">
        <v>500</v>
      </c>
      <c r="Q5" s="195"/>
      <c r="R5" s="194"/>
      <c r="S5" s="194"/>
      <c r="T5" s="194"/>
      <c r="U5" s="194"/>
    </row>
    <row r="6" spans="1:21" ht="9.75" customHeight="1">
      <c r="A6" s="341">
        <v>1</v>
      </c>
      <c r="B6" s="344" t="s">
        <v>501</v>
      </c>
      <c r="C6" s="344"/>
      <c r="D6" s="344"/>
      <c r="E6" s="344"/>
      <c r="F6" s="344"/>
      <c r="G6" s="344"/>
      <c r="H6" s="344"/>
      <c r="I6" s="345"/>
      <c r="J6" s="345"/>
      <c r="K6" s="345"/>
      <c r="L6" s="345"/>
      <c r="M6" s="345"/>
      <c r="N6" s="345"/>
      <c r="O6" s="345"/>
      <c r="P6" s="345"/>
      <c r="Q6" s="195"/>
      <c r="R6" s="194"/>
      <c r="S6" s="194"/>
      <c r="T6" s="194"/>
      <c r="U6" s="194"/>
    </row>
    <row r="7" spans="1:21" ht="12.75" customHeight="1">
      <c r="A7" s="341">
        <v>2</v>
      </c>
      <c r="B7" s="344" t="s">
        <v>502</v>
      </c>
      <c r="C7" s="346"/>
      <c r="D7" s="341"/>
      <c r="E7" s="347"/>
      <c r="F7" s="347"/>
      <c r="G7" s="348"/>
      <c r="H7" s="344"/>
      <c r="I7" s="349"/>
      <c r="J7" s="345"/>
      <c r="K7" s="345"/>
      <c r="L7" s="345"/>
      <c r="M7" s="345"/>
      <c r="N7" s="345"/>
      <c r="O7" s="345"/>
      <c r="P7" s="349"/>
      <c r="Q7" s="195"/>
      <c r="R7" s="194"/>
      <c r="S7" s="194"/>
      <c r="T7" s="194"/>
      <c r="U7" s="194"/>
    </row>
    <row r="8" spans="1:21" ht="12.75" customHeight="1">
      <c r="A8" s="341">
        <v>3</v>
      </c>
      <c r="B8" s="344" t="s">
        <v>503</v>
      </c>
      <c r="C8" s="346"/>
      <c r="D8" s="341"/>
      <c r="E8" s="347"/>
      <c r="F8" s="347"/>
      <c r="G8" s="348"/>
      <c r="H8" s="344"/>
      <c r="I8" s="349"/>
      <c r="J8" s="345"/>
      <c r="K8" s="345"/>
      <c r="L8" s="345"/>
      <c r="M8" s="345"/>
      <c r="N8" s="345"/>
      <c r="O8" s="345"/>
      <c r="P8" s="349"/>
      <c r="Q8" s="195"/>
      <c r="R8" s="194"/>
      <c r="S8" s="194"/>
      <c r="T8" s="194"/>
      <c r="U8" s="194"/>
    </row>
    <row r="9" spans="1:21" ht="12.75" customHeight="1">
      <c r="A9" s="341">
        <v>4</v>
      </c>
      <c r="B9" s="344" t="s">
        <v>504</v>
      </c>
      <c r="C9" s="346"/>
      <c r="D9" s="341"/>
      <c r="E9" s="347"/>
      <c r="F9" s="347"/>
      <c r="G9" s="348"/>
      <c r="H9" s="344"/>
      <c r="I9" s="349"/>
      <c r="J9" s="345"/>
      <c r="K9" s="345"/>
      <c r="L9" s="345"/>
      <c r="M9" s="345"/>
      <c r="N9" s="345"/>
      <c r="O9" s="345"/>
      <c r="P9" s="350"/>
      <c r="Q9" s="195"/>
      <c r="R9" s="194"/>
      <c r="S9" s="194"/>
      <c r="T9" s="194"/>
      <c r="U9" s="194"/>
    </row>
    <row r="10" spans="1:21" ht="12.75" customHeight="1">
      <c r="A10" s="341">
        <v>5</v>
      </c>
      <c r="B10" s="344" t="s">
        <v>505</v>
      </c>
      <c r="C10" s="344"/>
      <c r="D10" s="344"/>
      <c r="E10" s="344"/>
      <c r="F10" s="344"/>
      <c r="G10" s="344"/>
      <c r="H10" s="344"/>
      <c r="I10" s="349"/>
      <c r="J10" s="345"/>
      <c r="K10" s="345"/>
      <c r="L10" s="345"/>
      <c r="M10" s="345"/>
      <c r="N10" s="345"/>
      <c r="O10" s="345"/>
      <c r="P10" s="351"/>
      <c r="Q10" s="195"/>
      <c r="R10" s="194"/>
      <c r="S10" s="194"/>
      <c r="T10" s="194"/>
      <c r="U10" s="194"/>
    </row>
    <row r="11" spans="1:21" ht="12.75" customHeight="1">
      <c r="A11" s="341">
        <v>6</v>
      </c>
      <c r="B11" s="344" t="s">
        <v>506</v>
      </c>
      <c r="C11" s="344"/>
      <c r="D11" s="344"/>
      <c r="E11" s="344"/>
      <c r="F11" s="344"/>
      <c r="G11" s="344"/>
      <c r="H11" s="344"/>
      <c r="I11" s="349"/>
      <c r="J11" s="345"/>
      <c r="K11" s="345"/>
      <c r="L11" s="345"/>
      <c r="M11" s="345"/>
      <c r="N11" s="345"/>
      <c r="O11" s="345"/>
      <c r="P11" s="349"/>
      <c r="Q11" s="195"/>
      <c r="R11" s="194"/>
      <c r="S11" s="194"/>
      <c r="T11" s="194"/>
      <c r="U11" s="194"/>
    </row>
    <row r="12" spans="1:21" ht="12.75" customHeight="1">
      <c r="A12" s="341">
        <v>7</v>
      </c>
      <c r="B12" s="344" t="s">
        <v>154</v>
      </c>
      <c r="C12" s="346"/>
      <c r="D12" s="341"/>
      <c r="E12" s="352"/>
      <c r="F12" s="347"/>
      <c r="G12" s="348"/>
      <c r="H12" s="344"/>
      <c r="I12" s="349"/>
      <c r="J12" s="345"/>
      <c r="K12" s="345"/>
      <c r="L12" s="345"/>
      <c r="M12" s="345"/>
      <c r="N12" s="345"/>
      <c r="O12" s="345"/>
      <c r="P12" s="353"/>
      <c r="Q12" s="195"/>
      <c r="R12" s="194"/>
      <c r="S12" s="194"/>
      <c r="T12" s="194"/>
      <c r="U12" s="194"/>
    </row>
    <row r="13" spans="1:21" ht="12.75" customHeight="1">
      <c r="A13" s="341">
        <v>8</v>
      </c>
      <c r="B13" s="344" t="s">
        <v>507</v>
      </c>
      <c r="C13" s="341"/>
      <c r="D13" s="341"/>
      <c r="E13" s="354"/>
      <c r="F13" s="354"/>
      <c r="G13" s="348"/>
      <c r="H13" s="344"/>
      <c r="I13" s="349"/>
      <c r="J13" s="345"/>
      <c r="K13" s="345"/>
      <c r="L13" s="345"/>
      <c r="M13" s="345"/>
      <c r="N13" s="345"/>
      <c r="O13" s="345"/>
      <c r="P13" s="349"/>
      <c r="Q13" s="195"/>
      <c r="R13" s="194"/>
      <c r="S13" s="194"/>
      <c r="T13" s="194"/>
      <c r="U13" s="194"/>
    </row>
    <row r="14" spans="1:21" ht="12.75" customHeight="1">
      <c r="A14" s="341">
        <v>9</v>
      </c>
      <c r="B14" s="355" t="s">
        <v>362</v>
      </c>
      <c r="C14" s="356"/>
      <c r="D14" s="341"/>
      <c r="E14" s="357"/>
      <c r="F14" s="357"/>
      <c r="G14" s="358"/>
      <c r="H14" s="341"/>
      <c r="I14" s="359"/>
      <c r="J14" s="345"/>
      <c r="K14" s="345"/>
      <c r="L14" s="345"/>
      <c r="M14" s="345"/>
      <c r="N14" s="345"/>
      <c r="O14" s="345"/>
      <c r="P14" s="349"/>
      <c r="Q14" s="195"/>
      <c r="R14" s="194"/>
      <c r="S14" s="194"/>
      <c r="T14" s="194"/>
      <c r="U14" s="194"/>
    </row>
    <row r="15" spans="1:21" ht="12.75" customHeight="1">
      <c r="A15" s="341">
        <v>10</v>
      </c>
      <c r="B15" s="344" t="s">
        <v>297</v>
      </c>
      <c r="C15" s="356"/>
      <c r="D15" s="341"/>
      <c r="E15" s="357"/>
      <c r="F15" s="357"/>
      <c r="G15" s="358"/>
      <c r="H15" s="341"/>
      <c r="I15" s="359"/>
      <c r="J15" s="345"/>
      <c r="K15" s="345"/>
      <c r="L15" s="345"/>
      <c r="M15" s="345"/>
      <c r="N15" s="345"/>
      <c r="O15" s="345"/>
      <c r="P15" s="349"/>
      <c r="Q15" s="195"/>
      <c r="R15" s="194"/>
      <c r="S15" s="194"/>
      <c r="T15" s="194"/>
      <c r="U15" s="194"/>
    </row>
    <row r="16" spans="1:21" ht="12.75" customHeight="1">
      <c r="A16" s="341">
        <v>11</v>
      </c>
      <c r="B16" s="355" t="s">
        <v>6</v>
      </c>
      <c r="C16" s="356"/>
      <c r="D16" s="341"/>
      <c r="E16" s="357"/>
      <c r="F16" s="357"/>
      <c r="G16" s="358"/>
      <c r="H16" s="341"/>
      <c r="I16" s="359"/>
      <c r="J16" s="345"/>
      <c r="K16" s="345"/>
      <c r="L16" s="345"/>
      <c r="M16" s="345"/>
      <c r="N16" s="345"/>
      <c r="O16" s="345"/>
      <c r="P16" s="349"/>
      <c r="Q16" s="195"/>
      <c r="R16" s="194"/>
      <c r="S16" s="194"/>
      <c r="T16" s="194"/>
      <c r="U16" s="194"/>
    </row>
    <row r="17" spans="1:21" ht="12.75" customHeight="1">
      <c r="A17" s="341">
        <v>12</v>
      </c>
      <c r="B17" s="344" t="s">
        <v>21</v>
      </c>
      <c r="C17" s="356"/>
      <c r="D17" s="341"/>
      <c r="E17" s="357"/>
      <c r="F17" s="357"/>
      <c r="G17" s="358"/>
      <c r="H17" s="341"/>
      <c r="I17" s="359"/>
      <c r="J17" s="345"/>
      <c r="K17" s="345"/>
      <c r="L17" s="345"/>
      <c r="M17" s="345"/>
      <c r="N17" s="345"/>
      <c r="O17" s="345"/>
      <c r="P17" s="349"/>
      <c r="Q17" s="195"/>
      <c r="R17" s="194"/>
      <c r="S17" s="194"/>
      <c r="T17" s="194"/>
      <c r="U17" s="194"/>
    </row>
    <row r="18" spans="1:21" ht="12.75" customHeight="1">
      <c r="A18" s="341">
        <v>13</v>
      </c>
      <c r="B18" s="344" t="s">
        <v>365</v>
      </c>
      <c r="C18" s="341"/>
      <c r="D18" s="341"/>
      <c r="E18" s="347"/>
      <c r="F18" s="347"/>
      <c r="G18" s="348"/>
      <c r="H18" s="344"/>
      <c r="I18" s="349"/>
      <c r="J18" s="345"/>
      <c r="K18" s="345"/>
      <c r="L18" s="345"/>
      <c r="M18" s="345"/>
      <c r="N18" s="345"/>
      <c r="O18" s="345"/>
      <c r="P18" s="349"/>
      <c r="Q18" s="195"/>
      <c r="R18" s="194"/>
      <c r="S18" s="194"/>
      <c r="T18" s="194"/>
      <c r="U18" s="194"/>
    </row>
    <row r="19" spans="1:21" ht="12.75" customHeight="1">
      <c r="A19" s="341">
        <v>14</v>
      </c>
      <c r="B19" s="344" t="s">
        <v>388</v>
      </c>
      <c r="C19" s="360"/>
      <c r="D19" s="341"/>
      <c r="E19" s="361"/>
      <c r="F19" s="361"/>
      <c r="G19" s="348"/>
      <c r="H19" s="344"/>
      <c r="I19" s="349"/>
      <c r="J19" s="345"/>
      <c r="K19" s="345"/>
      <c r="L19" s="345"/>
      <c r="M19" s="345"/>
      <c r="N19" s="345"/>
      <c r="O19" s="345"/>
      <c r="P19" s="349"/>
      <c r="Q19" s="195"/>
      <c r="R19" s="194"/>
      <c r="S19" s="194"/>
      <c r="T19" s="194"/>
      <c r="U19" s="194"/>
    </row>
    <row r="20" spans="1:21" ht="12.75" customHeight="1">
      <c r="A20" s="344"/>
      <c r="B20" s="344" t="s">
        <v>508</v>
      </c>
      <c r="C20" s="341"/>
      <c r="D20" s="341"/>
      <c r="E20" s="348"/>
      <c r="F20" s="348"/>
      <c r="G20" s="348"/>
      <c r="H20" s="344"/>
      <c r="I20" s="349"/>
      <c r="J20" s="345"/>
      <c r="K20" s="345"/>
      <c r="L20" s="345"/>
      <c r="M20" s="345"/>
      <c r="N20" s="345"/>
      <c r="O20" s="345"/>
      <c r="P20" s="349"/>
      <c r="Q20" s="195"/>
      <c r="R20" s="194"/>
      <c r="S20" s="194"/>
      <c r="T20" s="194"/>
      <c r="U20" s="194"/>
    </row>
    <row r="21" spans="1:21" ht="12.75" customHeight="1">
      <c r="A21" s="329"/>
      <c r="B21" s="329"/>
      <c r="C21" s="362"/>
      <c r="D21" s="362"/>
      <c r="E21" s="363"/>
      <c r="F21" s="363"/>
      <c r="G21" s="363"/>
      <c r="H21" s="329"/>
      <c r="I21" s="364"/>
      <c r="J21" s="333"/>
      <c r="K21" s="333"/>
      <c r="L21" s="333"/>
      <c r="M21" s="333"/>
      <c r="N21" s="333"/>
      <c r="O21" s="333"/>
      <c r="P21" s="364"/>
      <c r="Q21" s="195"/>
      <c r="R21" s="194"/>
      <c r="S21" s="194"/>
      <c r="T21" s="194"/>
      <c r="U21" s="194"/>
    </row>
    <row r="22" spans="1:21" ht="12.75" customHeight="1">
      <c r="A22" s="329"/>
      <c r="B22" s="329"/>
      <c r="C22" s="362"/>
      <c r="D22" s="362"/>
      <c r="E22" s="365"/>
      <c r="F22" s="365"/>
      <c r="G22" s="363"/>
      <c r="H22" s="329"/>
      <c r="I22" s="364"/>
      <c r="J22" s="333"/>
      <c r="K22" s="333"/>
      <c r="L22" s="333"/>
      <c r="M22" s="333"/>
      <c r="N22" s="333"/>
      <c r="O22" s="333"/>
      <c r="P22" s="364"/>
      <c r="Q22" s="195"/>
      <c r="R22" s="194"/>
      <c r="S22" s="194"/>
      <c r="T22" s="194"/>
      <c r="U22" s="194"/>
    </row>
    <row r="23" spans="1:21" ht="12.75" customHeight="1">
      <c r="A23" s="329"/>
      <c r="B23" s="329"/>
      <c r="C23" s="362"/>
      <c r="D23" s="362"/>
      <c r="E23" s="365"/>
      <c r="F23" s="365"/>
      <c r="G23" s="363"/>
      <c r="H23" s="329"/>
      <c r="I23" s="364"/>
      <c r="J23" s="333"/>
      <c r="K23" s="333"/>
      <c r="L23" s="333"/>
      <c r="M23" s="333"/>
      <c r="N23" s="333"/>
      <c r="O23" s="333"/>
      <c r="P23" s="364"/>
      <c r="Q23" s="195"/>
      <c r="R23" s="194"/>
      <c r="S23" s="194"/>
      <c r="T23" s="194"/>
      <c r="U23" s="194"/>
    </row>
    <row r="24" spans="1:21" ht="12.75" customHeight="1">
      <c r="A24" s="329"/>
      <c r="B24" s="329"/>
      <c r="C24" s="366"/>
      <c r="D24" s="362"/>
      <c r="E24" s="367"/>
      <c r="F24" s="367"/>
      <c r="G24" s="363"/>
      <c r="H24" s="329"/>
      <c r="I24" s="364"/>
      <c r="J24" s="333"/>
      <c r="K24" s="333"/>
      <c r="L24" s="333"/>
      <c r="M24" s="333"/>
      <c r="N24" s="333"/>
      <c r="O24" s="333"/>
      <c r="P24" s="364"/>
      <c r="Q24" s="195"/>
      <c r="R24" s="194"/>
      <c r="S24" s="194"/>
      <c r="T24" s="194"/>
      <c r="U24" s="194"/>
    </row>
    <row r="25" spans="1:21" ht="12.75" customHeight="1">
      <c r="A25" s="181"/>
      <c r="B25" s="181"/>
      <c r="C25" s="327"/>
      <c r="D25" s="327"/>
      <c r="E25" s="181"/>
      <c r="F25" s="327"/>
      <c r="G25" s="327"/>
      <c r="H25" s="181"/>
      <c r="I25" s="181"/>
      <c r="J25" s="160"/>
      <c r="K25" s="120"/>
      <c r="L25" s="120"/>
      <c r="M25" s="195"/>
      <c r="N25" s="195"/>
      <c r="O25" s="195"/>
      <c r="P25" s="195"/>
      <c r="Q25" s="195"/>
      <c r="R25" s="194"/>
      <c r="S25" s="194"/>
      <c r="T25" s="194"/>
      <c r="U25" s="194"/>
    </row>
    <row r="26" spans="1:21" ht="12.75" customHeight="1">
      <c r="A26" s="181"/>
      <c r="B26" s="181"/>
      <c r="C26" s="327"/>
      <c r="D26" s="327"/>
      <c r="E26" s="181"/>
      <c r="F26" s="327"/>
      <c r="G26" s="327"/>
      <c r="H26" s="181"/>
      <c r="I26" s="181"/>
      <c r="J26" s="160"/>
      <c r="K26" s="120"/>
      <c r="L26" s="120"/>
      <c r="M26" s="195"/>
      <c r="N26" s="195"/>
      <c r="O26" s="195"/>
      <c r="P26" s="195"/>
      <c r="Q26" s="195"/>
      <c r="R26" s="194"/>
      <c r="S26" s="194"/>
      <c r="T26" s="194"/>
      <c r="U26" s="194"/>
    </row>
    <row r="27" spans="1:21" ht="12.75" customHeight="1">
      <c r="A27" s="181"/>
      <c r="B27" s="181"/>
      <c r="C27" s="327"/>
      <c r="D27" s="327"/>
      <c r="E27" s="181"/>
      <c r="F27" s="327"/>
      <c r="G27" s="327"/>
      <c r="H27" s="181"/>
      <c r="I27" s="181"/>
      <c r="J27" s="160"/>
      <c r="K27" s="120"/>
      <c r="L27" s="120"/>
      <c r="M27" s="195"/>
      <c r="N27" s="195"/>
      <c r="O27" s="195"/>
      <c r="P27" s="195"/>
      <c r="Q27" s="195"/>
      <c r="R27" s="194"/>
      <c r="S27" s="194"/>
      <c r="T27" s="194"/>
      <c r="U27" s="194"/>
    </row>
    <row r="28" spans="1:21" ht="12.75" customHeight="1">
      <c r="A28" s="181"/>
      <c r="B28" s="181"/>
      <c r="C28" s="327"/>
      <c r="D28" s="327"/>
      <c r="E28" s="181"/>
      <c r="F28" s="327"/>
      <c r="G28" s="327"/>
      <c r="H28" s="181"/>
      <c r="I28" s="181"/>
      <c r="J28" s="160"/>
      <c r="K28" s="120"/>
      <c r="L28" s="120"/>
      <c r="M28" s="195"/>
      <c r="N28" s="195"/>
      <c r="O28" s="195"/>
      <c r="P28" s="195"/>
      <c r="Q28" s="195"/>
      <c r="R28" s="194"/>
      <c r="S28" s="194"/>
      <c r="T28" s="194"/>
      <c r="U28" s="194"/>
    </row>
    <row r="29" spans="1:21" ht="12.75" customHeight="1">
      <c r="A29" s="181"/>
      <c r="B29" s="181"/>
      <c r="C29" s="327"/>
      <c r="D29" s="327"/>
      <c r="E29" s="181"/>
      <c r="F29" s="327"/>
      <c r="G29" s="327"/>
      <c r="H29" s="181"/>
      <c r="I29" s="181"/>
      <c r="J29" s="160"/>
      <c r="K29" s="120"/>
      <c r="L29" s="120"/>
      <c r="M29" s="195"/>
      <c r="N29" s="195"/>
      <c r="O29" s="195"/>
      <c r="P29" s="195"/>
      <c r="Q29" s="195"/>
      <c r="R29" s="194"/>
      <c r="S29" s="194"/>
      <c r="T29" s="194"/>
      <c r="U29" s="194"/>
    </row>
    <row r="30" spans="1:21" ht="12.75" customHeight="1">
      <c r="A30" s="181"/>
      <c r="B30" s="181"/>
      <c r="C30" s="327"/>
      <c r="D30" s="327"/>
      <c r="E30" s="181"/>
      <c r="F30" s="327"/>
      <c r="G30" s="327"/>
      <c r="H30" s="181"/>
      <c r="I30" s="181"/>
      <c r="J30" s="160"/>
      <c r="K30" s="120"/>
      <c r="L30" s="120"/>
      <c r="M30" s="195"/>
      <c r="N30" s="195"/>
      <c r="O30" s="195"/>
      <c r="P30" s="195"/>
      <c r="Q30" s="195"/>
      <c r="R30" s="194"/>
      <c r="S30" s="194"/>
      <c r="T30" s="194"/>
      <c r="U30" s="194"/>
    </row>
    <row r="31" spans="1:21" ht="12.75" customHeight="1">
      <c r="A31" s="181"/>
      <c r="B31" s="181"/>
      <c r="C31" s="327"/>
      <c r="D31" s="327"/>
      <c r="E31" s="181"/>
      <c r="F31" s="327"/>
      <c r="G31" s="327"/>
      <c r="H31" s="181"/>
      <c r="I31" s="181"/>
      <c r="J31" s="160"/>
      <c r="K31" s="120"/>
      <c r="L31" s="120"/>
      <c r="M31" s="195"/>
      <c r="N31" s="195"/>
      <c r="O31" s="195"/>
      <c r="P31" s="195"/>
      <c r="Q31" s="195"/>
      <c r="R31" s="194"/>
      <c r="S31" s="194"/>
      <c r="T31" s="194"/>
      <c r="U31" s="194"/>
    </row>
    <row r="32" spans="1:21" ht="12.75" customHeight="1">
      <c r="A32" s="181"/>
      <c r="B32" s="181"/>
      <c r="C32" s="327"/>
      <c r="D32" s="327"/>
      <c r="E32" s="181"/>
      <c r="F32" s="327"/>
      <c r="G32" s="327"/>
      <c r="H32" s="181"/>
      <c r="I32" s="181"/>
      <c r="J32" s="160"/>
      <c r="K32" s="120"/>
      <c r="L32" s="120"/>
      <c r="M32" s="195"/>
      <c r="N32" s="195"/>
      <c r="O32" s="195"/>
      <c r="P32" s="195"/>
      <c r="Q32" s="195"/>
      <c r="R32" s="194"/>
      <c r="S32" s="194"/>
      <c r="T32" s="194"/>
      <c r="U32" s="194"/>
    </row>
    <row r="33" spans="1:21" ht="12.75" customHeight="1">
      <c r="A33" s="181"/>
      <c r="B33" s="181"/>
      <c r="C33" s="327"/>
      <c r="D33" s="327"/>
      <c r="E33" s="181"/>
      <c r="F33" s="327"/>
      <c r="G33" s="327"/>
      <c r="H33" s="181"/>
      <c r="I33" s="181"/>
      <c r="J33" s="160"/>
      <c r="K33" s="120"/>
      <c r="L33" s="120"/>
      <c r="M33" s="195"/>
      <c r="N33" s="195"/>
      <c r="O33" s="195"/>
      <c r="P33" s="195"/>
      <c r="Q33" s="195"/>
      <c r="R33" s="194"/>
      <c r="S33" s="194"/>
      <c r="T33" s="194"/>
      <c r="U33" s="194"/>
    </row>
    <row r="34" spans="1:21" ht="12.75" customHeight="1">
      <c r="A34" s="181"/>
      <c r="B34" s="181"/>
      <c r="C34" s="327"/>
      <c r="D34" s="327"/>
      <c r="E34" s="181"/>
      <c r="F34" s="327"/>
      <c r="G34" s="327"/>
      <c r="H34" s="181"/>
      <c r="I34" s="181"/>
      <c r="J34" s="160"/>
      <c r="K34" s="120"/>
      <c r="L34" s="120"/>
      <c r="M34" s="195"/>
      <c r="N34" s="195"/>
      <c r="O34" s="195"/>
      <c r="P34" s="195"/>
      <c r="Q34" s="195"/>
      <c r="R34" s="194"/>
      <c r="S34" s="194"/>
      <c r="T34" s="194"/>
      <c r="U34" s="194"/>
    </row>
    <row r="35" spans="1:21" ht="12.75" customHeight="1">
      <c r="A35" s="181"/>
      <c r="B35" s="181"/>
      <c r="C35" s="327"/>
      <c r="D35" s="327"/>
      <c r="E35" s="181"/>
      <c r="F35" s="327"/>
      <c r="G35" s="327"/>
      <c r="H35" s="181"/>
      <c r="I35" s="181"/>
      <c r="J35" s="160"/>
      <c r="K35" s="120"/>
      <c r="L35" s="120"/>
      <c r="M35" s="195"/>
      <c r="N35" s="195"/>
      <c r="O35" s="195"/>
      <c r="P35" s="195"/>
      <c r="Q35" s="195"/>
      <c r="R35" s="194"/>
      <c r="S35" s="194"/>
      <c r="T35" s="194"/>
      <c r="U35" s="194"/>
    </row>
    <row r="36" spans="1:21" ht="12.75" customHeight="1">
      <c r="A36" s="181"/>
      <c r="B36" s="181"/>
      <c r="C36" s="327"/>
      <c r="D36" s="327"/>
      <c r="E36" s="181"/>
      <c r="F36" s="327"/>
      <c r="G36" s="327"/>
      <c r="H36" s="181"/>
      <c r="I36" s="181"/>
      <c r="J36" s="160"/>
      <c r="K36" s="120"/>
      <c r="L36" s="120"/>
      <c r="M36" s="195"/>
      <c r="N36" s="195"/>
      <c r="O36" s="195"/>
      <c r="P36" s="195"/>
      <c r="Q36" s="195"/>
      <c r="R36" s="194"/>
      <c r="S36" s="194"/>
      <c r="T36" s="194"/>
      <c r="U36" s="194"/>
    </row>
    <row r="37" spans="1:21" ht="12.75" customHeight="1">
      <c r="A37" s="181"/>
      <c r="B37" s="181"/>
      <c r="C37" s="327"/>
      <c r="D37" s="327"/>
      <c r="E37" s="181"/>
      <c r="F37" s="327"/>
      <c r="G37" s="327"/>
      <c r="H37" s="181"/>
      <c r="I37" s="181"/>
      <c r="J37" s="160"/>
      <c r="K37" s="120"/>
      <c r="L37" s="120"/>
      <c r="M37" s="195"/>
      <c r="N37" s="195"/>
      <c r="O37" s="195"/>
      <c r="P37" s="195"/>
      <c r="Q37" s="195"/>
      <c r="R37" s="194"/>
      <c r="S37" s="194"/>
      <c r="T37" s="194"/>
      <c r="U37" s="194"/>
    </row>
    <row r="38" spans="1:21" ht="12.75" customHeight="1">
      <c r="A38" s="181"/>
      <c r="B38" s="181"/>
      <c r="C38" s="327"/>
      <c r="D38" s="327"/>
      <c r="E38" s="181"/>
      <c r="F38" s="327"/>
      <c r="G38" s="327"/>
      <c r="H38" s="181"/>
      <c r="I38" s="181"/>
      <c r="J38" s="160"/>
      <c r="K38" s="120"/>
      <c r="L38" s="120"/>
      <c r="M38" s="195"/>
      <c r="N38" s="195"/>
      <c r="O38" s="195"/>
      <c r="P38" s="195"/>
      <c r="Q38" s="195"/>
      <c r="R38" s="194"/>
      <c r="S38" s="194"/>
      <c r="T38" s="194"/>
      <c r="U38" s="194"/>
    </row>
    <row r="39" spans="1:21" ht="12.75" customHeight="1">
      <c r="A39" s="181"/>
      <c r="B39" s="181"/>
      <c r="C39" s="327"/>
      <c r="D39" s="327"/>
      <c r="E39" s="181"/>
      <c r="F39" s="327"/>
      <c r="G39" s="327"/>
      <c r="H39" s="181"/>
      <c r="I39" s="181"/>
      <c r="J39" s="160"/>
      <c r="K39" s="120"/>
      <c r="L39" s="120"/>
      <c r="M39" s="195"/>
      <c r="N39" s="195"/>
      <c r="O39" s="195"/>
      <c r="P39" s="195"/>
      <c r="Q39" s="195"/>
      <c r="R39" s="194"/>
      <c r="S39" s="194"/>
      <c r="T39" s="194"/>
      <c r="U39" s="194"/>
    </row>
    <row r="40" spans="1:21" ht="15.75">
      <c r="A40" s="160"/>
      <c r="B40" s="181"/>
      <c r="C40" s="181"/>
      <c r="D40" s="181"/>
      <c r="E40" s="328"/>
      <c r="F40" s="181"/>
      <c r="G40" s="181"/>
      <c r="H40" s="328"/>
      <c r="I40" s="328"/>
      <c r="J40" s="160"/>
      <c r="K40" s="120"/>
      <c r="L40" s="120"/>
      <c r="M40" s="195"/>
      <c r="N40" s="195"/>
      <c r="O40" s="195"/>
      <c r="P40" s="195"/>
      <c r="Q40" s="195"/>
      <c r="R40" s="194"/>
      <c r="S40" s="194"/>
      <c r="T40" s="194"/>
      <c r="U40" s="194"/>
    </row>
    <row r="41" spans="1:21" ht="15.75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20"/>
      <c r="L41" s="120"/>
      <c r="M41" s="195"/>
      <c r="N41" s="195"/>
      <c r="O41" s="195"/>
      <c r="P41" s="195"/>
      <c r="Q41" s="195"/>
      <c r="R41" s="194"/>
      <c r="S41" s="194"/>
      <c r="T41" s="194"/>
      <c r="U41" s="194"/>
    </row>
    <row r="42" spans="1:21" ht="15.75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20"/>
      <c r="L42" s="120"/>
      <c r="M42" s="195"/>
      <c r="N42" s="195"/>
      <c r="O42" s="195"/>
      <c r="P42" s="195"/>
      <c r="Q42" s="195"/>
      <c r="R42" s="194"/>
      <c r="S42" s="194"/>
      <c r="T42" s="194"/>
      <c r="U42" s="194"/>
    </row>
    <row r="43" spans="1:21" ht="15.75">
      <c r="A43" s="329"/>
      <c r="B43" s="329"/>
      <c r="C43" s="329"/>
      <c r="D43" s="329"/>
      <c r="E43" s="329"/>
      <c r="F43" s="329"/>
      <c r="G43" s="329"/>
      <c r="H43" s="329"/>
      <c r="I43" s="329"/>
      <c r="J43" s="329"/>
      <c r="K43" s="195"/>
      <c r="L43" s="195"/>
      <c r="M43" s="195"/>
      <c r="N43" s="195"/>
      <c r="O43" s="195"/>
      <c r="P43" s="195"/>
      <c r="Q43" s="195"/>
      <c r="R43" s="194"/>
      <c r="S43" s="194"/>
      <c r="T43" s="194"/>
      <c r="U43" s="194"/>
    </row>
    <row r="44" spans="1:21" ht="15.75">
      <c r="A44" s="329"/>
      <c r="B44" s="329"/>
      <c r="C44" s="329"/>
      <c r="D44" s="329"/>
      <c r="E44" s="329"/>
      <c r="F44" s="329"/>
      <c r="G44" s="329"/>
      <c r="H44" s="329"/>
      <c r="I44" s="329"/>
      <c r="J44" s="329"/>
      <c r="K44" s="195"/>
      <c r="L44" s="195"/>
      <c r="M44" s="195"/>
      <c r="N44" s="195"/>
      <c r="O44" s="195"/>
      <c r="P44" s="195"/>
      <c r="Q44" s="195"/>
      <c r="R44" s="194"/>
      <c r="S44" s="194"/>
      <c r="T44" s="194"/>
      <c r="U44" s="194"/>
    </row>
    <row r="45" spans="1:21" ht="15.75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4"/>
      <c r="S45" s="194"/>
      <c r="T45" s="194"/>
      <c r="U45" s="194"/>
    </row>
    <row r="46" spans="1:21" ht="15.7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</row>
    <row r="47" spans="1:21" ht="15.7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</row>
  </sheetData>
  <sheetProtection/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79"/>
  <sheetViews>
    <sheetView zoomScalePageLayoutView="0" workbookViewId="0" topLeftCell="A1">
      <selection activeCell="C193" sqref="C193"/>
    </sheetView>
  </sheetViews>
  <sheetFormatPr defaultColWidth="9.00390625" defaultRowHeight="12.75"/>
  <cols>
    <col min="1" max="1" width="5.625" style="0" customWidth="1"/>
    <col min="2" max="2" width="38.25390625" style="0" customWidth="1"/>
    <col min="3" max="3" width="14.875" style="0" customWidth="1"/>
    <col min="4" max="4" width="13.25390625" style="0" customWidth="1"/>
    <col min="5" max="5" width="12.625" style="0" customWidth="1"/>
    <col min="6" max="6" width="9.375" style="0" customWidth="1"/>
    <col min="7" max="7" width="10.375" style="0" customWidth="1"/>
    <col min="8" max="8" width="8.25390625" style="0" customWidth="1"/>
    <col min="9" max="9" width="12.25390625" style="0" customWidth="1"/>
    <col min="10" max="10" width="5.625" style="0" customWidth="1"/>
    <col min="11" max="11" width="36.75390625" style="0" customWidth="1"/>
    <col min="12" max="12" width="14.875" style="0" customWidth="1"/>
    <col min="13" max="13" width="13.125" style="0" customWidth="1"/>
    <col min="14" max="14" width="12.375" style="0" customWidth="1"/>
    <col min="15" max="15" width="9.375" style="0" customWidth="1"/>
    <col min="16" max="16" width="10.375" style="0" customWidth="1"/>
    <col min="18" max="18" width="12.375" style="0" customWidth="1"/>
    <col min="19" max="19" width="7.375" style="0" customWidth="1"/>
    <col min="21" max="21" width="13.125" style="0" customWidth="1"/>
    <col min="22" max="22" width="26.75390625" style="0" customWidth="1"/>
    <col min="23" max="23" width="13.125" style="0" customWidth="1"/>
    <col min="24" max="24" width="12.625" style="0" customWidth="1"/>
    <col min="25" max="25" width="12.75390625" style="0" customWidth="1"/>
    <col min="26" max="26" width="13.125" style="0" customWidth="1"/>
    <col min="27" max="27" width="13.375" style="0" customWidth="1"/>
    <col min="28" max="28" width="6.375" style="0" customWidth="1"/>
    <col min="31" max="31" width="30.625" style="0" customWidth="1"/>
    <col min="32" max="32" width="13.125" style="0" customWidth="1"/>
    <col min="33" max="33" width="12.625" style="0" customWidth="1"/>
    <col min="34" max="35" width="13.25390625" style="0" customWidth="1"/>
    <col min="36" max="36" width="13.625" style="0" customWidth="1"/>
    <col min="37" max="37" width="6.75390625" style="0" customWidth="1"/>
    <col min="40" max="40" width="30.875" style="0" customWidth="1"/>
    <col min="41" max="41" width="13.75390625" style="0" customWidth="1"/>
    <col min="42" max="42" width="12.875" style="0" customWidth="1"/>
    <col min="43" max="43" width="11.625" style="0" customWidth="1"/>
    <col min="44" max="44" width="13.00390625" style="0" customWidth="1"/>
    <col min="45" max="45" width="12.375" style="0" customWidth="1"/>
    <col min="51" max="51" width="26.125" style="0" customWidth="1"/>
    <col min="52" max="52" width="17.125" style="0" customWidth="1"/>
    <col min="53" max="53" width="14.625" style="0" customWidth="1"/>
    <col min="54" max="54" width="15.625" style="0" customWidth="1"/>
    <col min="78" max="78" width="8.25390625" style="0" customWidth="1"/>
    <col min="81" max="81" width="11.00390625" style="0" customWidth="1"/>
    <col min="87" max="87" width="11.125" style="0" customWidth="1"/>
    <col min="89" max="89" width="5.875" style="0" customWidth="1"/>
    <col min="90" max="90" width="10.375" style="0" customWidth="1"/>
  </cols>
  <sheetData>
    <row r="1" spans="1:68" ht="12.7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60"/>
      <c r="T1" s="160"/>
      <c r="U1" s="160"/>
      <c r="V1" s="160"/>
      <c r="W1" s="160"/>
      <c r="X1" s="160"/>
      <c r="Y1" s="160"/>
      <c r="Z1" s="160"/>
      <c r="AA1" s="16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60"/>
      <c r="AU1" s="120"/>
      <c r="AV1" s="120"/>
      <c r="AW1" s="120"/>
      <c r="AX1" s="120"/>
      <c r="AY1" s="120"/>
      <c r="AZ1" s="120"/>
      <c r="BA1" s="120"/>
      <c r="BB1" s="120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12.75">
      <c r="A2" s="120"/>
      <c r="B2" s="120"/>
      <c r="C2" s="120"/>
      <c r="D2" s="120" t="s">
        <v>192</v>
      </c>
      <c r="E2" s="120"/>
      <c r="F2" s="120"/>
      <c r="G2" s="120"/>
      <c r="H2" s="120"/>
      <c r="I2" s="120"/>
      <c r="J2" s="120"/>
      <c r="K2" s="120"/>
      <c r="L2" s="120"/>
      <c r="M2" s="120" t="s">
        <v>288</v>
      </c>
      <c r="N2" s="120"/>
      <c r="O2" s="120"/>
      <c r="P2" s="120"/>
      <c r="Q2" s="120"/>
      <c r="R2" s="120"/>
      <c r="S2" s="160"/>
      <c r="T2" s="160"/>
      <c r="U2" s="160"/>
      <c r="V2" s="160"/>
      <c r="W2" s="160"/>
      <c r="X2" s="160"/>
      <c r="Y2" s="160"/>
      <c r="Z2" s="160"/>
      <c r="AA2" s="160"/>
      <c r="AB2" s="120" t="s">
        <v>325</v>
      </c>
      <c r="AC2" s="120"/>
      <c r="AD2" s="120"/>
      <c r="AE2" s="120"/>
      <c r="AF2" s="120"/>
      <c r="AG2" s="120"/>
      <c r="AH2" s="120"/>
      <c r="AI2" s="120"/>
      <c r="AJ2" s="120"/>
      <c r="AK2" s="120" t="s">
        <v>325</v>
      </c>
      <c r="AL2" s="120"/>
      <c r="AM2" s="120"/>
      <c r="AN2" s="120"/>
      <c r="AO2" s="120"/>
      <c r="AP2" s="120"/>
      <c r="AQ2" s="120"/>
      <c r="AR2" s="120"/>
      <c r="AS2" s="120"/>
      <c r="AT2" s="160" t="s">
        <v>530</v>
      </c>
      <c r="AU2" s="120"/>
      <c r="AV2" s="120"/>
      <c r="AW2" s="120"/>
      <c r="AX2" s="120"/>
      <c r="AY2" s="120"/>
      <c r="AZ2" s="120"/>
      <c r="BA2" s="120"/>
      <c r="BB2" s="120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8" ht="12.75">
      <c r="A3" s="120"/>
      <c r="B3" s="120"/>
      <c r="C3" s="120"/>
      <c r="D3" s="120" t="s">
        <v>193</v>
      </c>
      <c r="E3" s="120"/>
      <c r="F3" s="120"/>
      <c r="G3" s="120"/>
      <c r="H3" s="120"/>
      <c r="I3" s="120"/>
      <c r="J3" s="120"/>
      <c r="K3" s="120"/>
      <c r="L3" s="120"/>
      <c r="M3" s="120" t="s">
        <v>289</v>
      </c>
      <c r="N3" s="120"/>
      <c r="O3" s="120"/>
      <c r="P3" s="120"/>
      <c r="Q3" s="120"/>
      <c r="R3" s="120"/>
      <c r="S3" s="120" t="s">
        <v>325</v>
      </c>
      <c r="T3" s="120"/>
      <c r="U3" s="120"/>
      <c r="V3" s="120"/>
      <c r="W3" s="120"/>
      <c r="X3" s="120"/>
      <c r="Y3" s="120"/>
      <c r="Z3" s="120"/>
      <c r="AA3" s="120"/>
      <c r="AB3" s="120" t="s">
        <v>324</v>
      </c>
      <c r="AC3" s="120"/>
      <c r="AD3" s="120"/>
      <c r="AE3" s="120"/>
      <c r="AF3" s="120"/>
      <c r="AG3" s="120"/>
      <c r="AH3" s="120"/>
      <c r="AI3" s="120"/>
      <c r="AJ3" s="120"/>
      <c r="AK3" s="120" t="s">
        <v>324</v>
      </c>
      <c r="AL3" s="120"/>
      <c r="AM3" s="120"/>
      <c r="AN3" s="120"/>
      <c r="AO3" s="120"/>
      <c r="AP3" s="120"/>
      <c r="AQ3" s="120"/>
      <c r="AR3" s="120"/>
      <c r="AS3" s="120"/>
      <c r="AT3" s="160" t="s">
        <v>532</v>
      </c>
      <c r="AU3" s="120"/>
      <c r="AV3" s="120"/>
      <c r="AW3" s="120"/>
      <c r="AX3" s="120"/>
      <c r="AY3" s="120"/>
      <c r="AZ3" s="120"/>
      <c r="BA3" s="120"/>
      <c r="BB3" s="120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1:68" ht="13.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 t="s">
        <v>324</v>
      </c>
      <c r="T4" s="120"/>
      <c r="U4" s="120"/>
      <c r="V4" s="120"/>
      <c r="W4" s="120"/>
      <c r="X4" s="120"/>
      <c r="Y4" s="120"/>
      <c r="Z4" s="120"/>
      <c r="AA4" s="120"/>
      <c r="AB4" s="120" t="s">
        <v>326</v>
      </c>
      <c r="AC4" s="120"/>
      <c r="AD4" s="120"/>
      <c r="AE4" s="120"/>
      <c r="AF4" s="120"/>
      <c r="AG4" s="120"/>
      <c r="AH4" s="120"/>
      <c r="AI4" s="120"/>
      <c r="AJ4" s="120"/>
      <c r="AK4" s="120" t="s">
        <v>326</v>
      </c>
      <c r="AL4" s="120"/>
      <c r="AM4" s="120"/>
      <c r="AN4" s="120"/>
      <c r="AO4" s="120"/>
      <c r="AP4" s="120"/>
      <c r="AQ4" s="120"/>
      <c r="AR4" s="120"/>
      <c r="AS4" s="120"/>
      <c r="AT4" s="160"/>
      <c r="AU4" s="120" t="s">
        <v>400</v>
      </c>
      <c r="AV4" s="120"/>
      <c r="AW4" s="120"/>
      <c r="AX4" s="120"/>
      <c r="AY4" s="254" t="s">
        <v>69</v>
      </c>
      <c r="AZ4" s="254" t="s">
        <v>555</v>
      </c>
      <c r="BA4" s="120"/>
      <c r="BB4" s="120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68" ht="12.75">
      <c r="A5" s="120"/>
      <c r="B5" s="120"/>
      <c r="C5" s="120" t="s">
        <v>194</v>
      </c>
      <c r="D5" s="120"/>
      <c r="E5" s="120"/>
      <c r="F5" s="120"/>
      <c r="G5" s="120"/>
      <c r="H5" s="120"/>
      <c r="I5" s="120"/>
      <c r="J5" s="120"/>
      <c r="K5" s="120"/>
      <c r="L5" s="120" t="s">
        <v>194</v>
      </c>
      <c r="M5" s="120"/>
      <c r="N5" s="120"/>
      <c r="O5" s="120"/>
      <c r="P5" s="120"/>
      <c r="Q5" s="120"/>
      <c r="R5" s="120"/>
      <c r="S5" s="120" t="s">
        <v>326</v>
      </c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45"/>
      <c r="AU5" s="146" t="s">
        <v>405</v>
      </c>
      <c r="AV5" s="146"/>
      <c r="AW5" s="146"/>
      <c r="AX5" s="146"/>
      <c r="AY5" s="146"/>
      <c r="AZ5" s="145" t="s">
        <v>406</v>
      </c>
      <c r="BA5" s="145" t="s">
        <v>407</v>
      </c>
      <c r="BB5" s="143" t="s">
        <v>364</v>
      </c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</row>
    <row r="6" spans="1:68" ht="12.75">
      <c r="A6" s="120"/>
      <c r="B6" s="120"/>
      <c r="C6" s="120"/>
      <c r="D6" s="277" t="s">
        <v>559</v>
      </c>
      <c r="E6" s="277"/>
      <c r="F6" s="120"/>
      <c r="G6" s="120"/>
      <c r="H6" s="120"/>
      <c r="I6" s="120"/>
      <c r="J6" s="120"/>
      <c r="K6" s="120"/>
      <c r="L6" s="120"/>
      <c r="M6" s="277" t="s">
        <v>559</v>
      </c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59"/>
      <c r="AU6" s="160"/>
      <c r="AV6" s="160"/>
      <c r="AW6" s="160"/>
      <c r="AX6" s="160"/>
      <c r="AY6" s="160"/>
      <c r="AZ6" s="159" t="s">
        <v>413</v>
      </c>
      <c r="BA6" s="159" t="s">
        <v>177</v>
      </c>
      <c r="BB6" s="173" t="s">
        <v>80</v>
      </c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ht="12.75">
      <c r="A7" s="120" t="s">
        <v>528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59"/>
      <c r="AU7" s="160"/>
      <c r="AV7" s="160"/>
      <c r="AW7" s="160"/>
      <c r="AX7" s="160"/>
      <c r="AY7" s="160"/>
      <c r="AZ7" s="103" t="s">
        <v>178</v>
      </c>
      <c r="BA7" s="103"/>
      <c r="BB7" s="144" t="s">
        <v>81</v>
      </c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8" ht="12.75">
      <c r="A8" s="120" t="s">
        <v>196</v>
      </c>
      <c r="B8" s="120"/>
      <c r="C8" s="120"/>
      <c r="D8" s="120"/>
      <c r="E8" s="120"/>
      <c r="F8" s="120"/>
      <c r="G8" s="120"/>
      <c r="H8" s="120"/>
      <c r="I8" s="120"/>
      <c r="J8" s="120" t="s">
        <v>528</v>
      </c>
      <c r="K8" s="120"/>
      <c r="L8" s="120"/>
      <c r="M8" s="120"/>
      <c r="N8" s="120"/>
      <c r="O8" s="120"/>
      <c r="P8" s="120"/>
      <c r="Q8" s="120"/>
      <c r="R8" s="120"/>
      <c r="S8" s="120" t="s">
        <v>357</v>
      </c>
      <c r="T8" s="120"/>
      <c r="U8" s="120"/>
      <c r="V8" s="120"/>
      <c r="W8" s="120"/>
      <c r="X8" s="120"/>
      <c r="Y8" s="120"/>
      <c r="Z8" s="120"/>
      <c r="AA8" s="120"/>
      <c r="AB8" s="120" t="s">
        <v>357</v>
      </c>
      <c r="AC8" s="120"/>
      <c r="AD8" s="120"/>
      <c r="AE8" s="120"/>
      <c r="AF8" s="120"/>
      <c r="AG8" s="120"/>
      <c r="AH8" s="120"/>
      <c r="AI8" s="120"/>
      <c r="AJ8" s="120"/>
      <c r="AK8" s="120" t="s">
        <v>357</v>
      </c>
      <c r="AL8" s="120"/>
      <c r="AM8" s="120"/>
      <c r="AN8" s="120"/>
      <c r="AO8" s="120"/>
      <c r="AP8" s="120"/>
      <c r="AQ8" s="120"/>
      <c r="AR8" s="120"/>
      <c r="AS8" s="120"/>
      <c r="AT8" s="145" t="s">
        <v>45</v>
      </c>
      <c r="AU8" s="146"/>
      <c r="AV8" s="146"/>
      <c r="AW8" s="146"/>
      <c r="AX8" s="146"/>
      <c r="AY8" s="147"/>
      <c r="AZ8" s="187">
        <f>I16+I17+I20+I22+I77</f>
        <v>12092593.800000014</v>
      </c>
      <c r="BA8" s="278"/>
      <c r="BB8" s="279">
        <f>BB9+BB14</f>
        <v>18768800.869598</v>
      </c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68" ht="12.75">
      <c r="A9" s="120" t="s">
        <v>198</v>
      </c>
      <c r="B9" s="120"/>
      <c r="C9" s="120"/>
      <c r="D9" s="120"/>
      <c r="E9" s="120"/>
      <c r="F9" s="120" t="s">
        <v>197</v>
      </c>
      <c r="G9" s="120"/>
      <c r="H9" s="120"/>
      <c r="I9" s="120"/>
      <c r="J9" s="120" t="s">
        <v>196</v>
      </c>
      <c r="K9" s="120"/>
      <c r="L9" s="120"/>
      <c r="M9" s="120"/>
      <c r="N9" s="120"/>
      <c r="O9" s="120" t="s">
        <v>197</v>
      </c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255" t="s">
        <v>383</v>
      </c>
      <c r="AU9" s="256"/>
      <c r="AV9" s="256"/>
      <c r="AW9" s="256"/>
      <c r="AX9" s="146"/>
      <c r="AY9" s="147"/>
      <c r="AZ9" s="280">
        <f>AZ11+AZ12</f>
        <v>5538642</v>
      </c>
      <c r="BA9" s="281">
        <f>(BB12+BB11)/AZ9</f>
        <v>3.3884564688708894</v>
      </c>
      <c r="BB9" s="279">
        <f>BB10+BB11+BB12+BB13</f>
        <v>18767447.31366</v>
      </c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</row>
    <row r="10" spans="1:68" ht="12.75">
      <c r="A10" s="143" t="s">
        <v>335</v>
      </c>
      <c r="B10" s="171" t="s">
        <v>199</v>
      </c>
      <c r="C10" s="143" t="s">
        <v>200</v>
      </c>
      <c r="D10" s="224" t="s">
        <v>286</v>
      </c>
      <c r="E10" s="225"/>
      <c r="F10" s="143" t="s">
        <v>201</v>
      </c>
      <c r="G10" s="143" t="s">
        <v>404</v>
      </c>
      <c r="H10" s="143" t="s">
        <v>202</v>
      </c>
      <c r="I10" s="143" t="s">
        <v>191</v>
      </c>
      <c r="J10" s="120" t="s">
        <v>198</v>
      </c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277" t="s">
        <v>560</v>
      </c>
      <c r="Z10" s="120"/>
      <c r="AA10" s="120"/>
      <c r="AB10" s="120"/>
      <c r="AC10" s="120"/>
      <c r="AD10" s="120"/>
      <c r="AE10" s="120"/>
      <c r="AF10" s="120"/>
      <c r="AG10" s="120"/>
      <c r="AH10" s="277" t="s">
        <v>560</v>
      </c>
      <c r="AI10" s="120"/>
      <c r="AJ10" s="120"/>
      <c r="AK10" s="120"/>
      <c r="AL10" s="120"/>
      <c r="AM10" s="120"/>
      <c r="AN10" s="120"/>
      <c r="AO10" s="120"/>
      <c r="AP10" s="120"/>
      <c r="AQ10" s="277" t="s">
        <v>560</v>
      </c>
      <c r="AR10" s="120"/>
      <c r="AS10" s="120"/>
      <c r="AT10" s="145" t="s">
        <v>179</v>
      </c>
      <c r="AU10" s="146"/>
      <c r="AV10" s="146"/>
      <c r="AW10" s="146"/>
      <c r="AX10" s="146"/>
      <c r="AY10" s="147"/>
      <c r="AZ10" s="282"/>
      <c r="BA10" s="283">
        <v>0</v>
      </c>
      <c r="BB10" s="284">
        <f>AZ10*BA10</f>
        <v>0</v>
      </c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</row>
    <row r="11" spans="1:68" ht="12.75">
      <c r="A11" s="173"/>
      <c r="B11" s="173"/>
      <c r="C11" s="173"/>
      <c r="D11" s="143" t="s">
        <v>203</v>
      </c>
      <c r="E11" s="145" t="s">
        <v>204</v>
      </c>
      <c r="F11" s="173" t="s">
        <v>205</v>
      </c>
      <c r="G11" s="173" t="s">
        <v>190</v>
      </c>
      <c r="H11" s="173"/>
      <c r="I11" s="173" t="s">
        <v>206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45" t="s">
        <v>180</v>
      </c>
      <c r="AU11" s="146"/>
      <c r="AV11" s="146"/>
      <c r="AW11" s="146"/>
      <c r="AX11" s="146"/>
      <c r="AY11" s="147"/>
      <c r="AZ11" s="155">
        <f>I81+I73</f>
        <v>7859.999999999978</v>
      </c>
      <c r="BA11" s="285">
        <v>5.09587</v>
      </c>
      <c r="BB11" s="284">
        <f>AZ11*BA11</f>
        <v>40053.538199999886</v>
      </c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68" ht="12.75">
      <c r="A12" s="144"/>
      <c r="B12" s="144"/>
      <c r="C12" s="144"/>
      <c r="D12" s="144" t="s">
        <v>207</v>
      </c>
      <c r="E12" s="103" t="s">
        <v>207</v>
      </c>
      <c r="F12" s="144" t="s">
        <v>208</v>
      </c>
      <c r="G12" s="144"/>
      <c r="H12" s="144"/>
      <c r="I12" s="144"/>
      <c r="J12" s="143" t="s">
        <v>335</v>
      </c>
      <c r="K12" s="171" t="s">
        <v>199</v>
      </c>
      <c r="L12" s="143" t="s">
        <v>200</v>
      </c>
      <c r="M12" s="224" t="s">
        <v>464</v>
      </c>
      <c r="N12" s="225"/>
      <c r="O12" s="143" t="s">
        <v>201</v>
      </c>
      <c r="P12" s="143" t="s">
        <v>404</v>
      </c>
      <c r="Q12" s="143" t="s">
        <v>202</v>
      </c>
      <c r="R12" s="143" t="s">
        <v>191</v>
      </c>
      <c r="S12" s="143" t="s">
        <v>335</v>
      </c>
      <c r="T12" s="145" t="s">
        <v>336</v>
      </c>
      <c r="U12" s="146"/>
      <c r="V12" s="147"/>
      <c r="W12" s="102" t="s">
        <v>337</v>
      </c>
      <c r="X12" s="150"/>
      <c r="Y12" s="150"/>
      <c r="Z12" s="150"/>
      <c r="AA12" s="151"/>
      <c r="AB12" s="143" t="s">
        <v>335</v>
      </c>
      <c r="AC12" s="145" t="s">
        <v>336</v>
      </c>
      <c r="AD12" s="146"/>
      <c r="AE12" s="147"/>
      <c r="AF12" s="102" t="s">
        <v>337</v>
      </c>
      <c r="AG12" s="150"/>
      <c r="AH12" s="150"/>
      <c r="AI12" s="150"/>
      <c r="AJ12" s="151"/>
      <c r="AK12" s="143" t="s">
        <v>335</v>
      </c>
      <c r="AL12" s="145" t="s">
        <v>336</v>
      </c>
      <c r="AM12" s="146"/>
      <c r="AN12" s="147"/>
      <c r="AO12" s="102" t="s">
        <v>337</v>
      </c>
      <c r="AP12" s="150"/>
      <c r="AQ12" s="150"/>
      <c r="AR12" s="150"/>
      <c r="AS12" s="151"/>
      <c r="AT12" s="145" t="s">
        <v>181</v>
      </c>
      <c r="AU12" s="146"/>
      <c r="AV12" s="146"/>
      <c r="AW12" s="146"/>
      <c r="AX12" s="146"/>
      <c r="AY12" s="147"/>
      <c r="AZ12" s="280">
        <f>I75</f>
        <v>5530782</v>
      </c>
      <c r="BA12" s="286">
        <v>3.38603</v>
      </c>
      <c r="BB12" s="284">
        <f>AZ12*BA12</f>
        <v>18727393.77546</v>
      </c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68" ht="12.75">
      <c r="A13" s="152">
        <v>1</v>
      </c>
      <c r="B13" s="152">
        <v>2</v>
      </c>
      <c r="C13" s="152">
        <v>3</v>
      </c>
      <c r="D13" s="152">
        <v>4</v>
      </c>
      <c r="E13" s="152">
        <v>5</v>
      </c>
      <c r="F13" s="152">
        <v>6</v>
      </c>
      <c r="G13" s="152">
        <v>7</v>
      </c>
      <c r="H13" s="152">
        <v>8</v>
      </c>
      <c r="I13" s="152">
        <v>9</v>
      </c>
      <c r="J13" s="173"/>
      <c r="K13" s="173"/>
      <c r="L13" s="173"/>
      <c r="M13" s="143" t="s">
        <v>203</v>
      </c>
      <c r="N13" s="145" t="s">
        <v>204</v>
      </c>
      <c r="O13" s="173" t="s">
        <v>205</v>
      </c>
      <c r="P13" s="173" t="s">
        <v>190</v>
      </c>
      <c r="Q13" s="173"/>
      <c r="R13" s="173" t="s">
        <v>206</v>
      </c>
      <c r="S13" s="144"/>
      <c r="T13" s="103"/>
      <c r="U13" s="148"/>
      <c r="V13" s="149"/>
      <c r="W13" s="152" t="s">
        <v>338</v>
      </c>
      <c r="X13" s="152" t="s">
        <v>339</v>
      </c>
      <c r="Y13" s="152" t="s">
        <v>340</v>
      </c>
      <c r="Z13" s="152" t="s">
        <v>341</v>
      </c>
      <c r="AA13" s="152" t="s">
        <v>342</v>
      </c>
      <c r="AB13" s="144"/>
      <c r="AC13" s="103"/>
      <c r="AD13" s="148"/>
      <c r="AE13" s="149"/>
      <c r="AF13" s="152" t="s">
        <v>338</v>
      </c>
      <c r="AG13" s="152" t="s">
        <v>339</v>
      </c>
      <c r="AH13" s="152" t="s">
        <v>340</v>
      </c>
      <c r="AI13" s="152" t="s">
        <v>341</v>
      </c>
      <c r="AJ13" s="152" t="s">
        <v>342</v>
      </c>
      <c r="AK13" s="144"/>
      <c r="AL13" s="103"/>
      <c r="AM13" s="148"/>
      <c r="AN13" s="149"/>
      <c r="AO13" s="152" t="s">
        <v>338</v>
      </c>
      <c r="AP13" s="152" t="s">
        <v>339</v>
      </c>
      <c r="AQ13" s="152" t="s">
        <v>340</v>
      </c>
      <c r="AR13" s="152" t="s">
        <v>341</v>
      </c>
      <c r="AS13" s="152" t="s">
        <v>342</v>
      </c>
      <c r="AT13" s="102" t="s">
        <v>173</v>
      </c>
      <c r="AU13" s="150"/>
      <c r="AV13" s="150"/>
      <c r="AW13" s="150"/>
      <c r="AX13" s="150"/>
      <c r="AY13" s="151"/>
      <c r="AZ13" s="280"/>
      <c r="BA13" s="257"/>
      <c r="BB13" s="284">
        <f>BA13*AZ13</f>
        <v>0</v>
      </c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68" ht="12.75">
      <c r="A14" s="103"/>
      <c r="B14" s="148"/>
      <c r="C14" s="320" t="s">
        <v>209</v>
      </c>
      <c r="D14" s="320"/>
      <c r="E14" s="148"/>
      <c r="F14" s="148"/>
      <c r="G14" s="148"/>
      <c r="H14" s="148"/>
      <c r="I14" s="149"/>
      <c r="J14" s="144"/>
      <c r="K14" s="144"/>
      <c r="L14" s="144"/>
      <c r="M14" s="144" t="s">
        <v>207</v>
      </c>
      <c r="N14" s="103" t="s">
        <v>207</v>
      </c>
      <c r="O14" s="144" t="s">
        <v>208</v>
      </c>
      <c r="P14" s="144"/>
      <c r="Q14" s="144"/>
      <c r="R14" s="144"/>
      <c r="S14" s="152">
        <v>1</v>
      </c>
      <c r="T14" s="96" t="s">
        <v>159</v>
      </c>
      <c r="U14" s="96"/>
      <c r="V14" s="96"/>
      <c r="W14" s="155">
        <f aca="true" t="shared" si="0" ref="W14:W25">SUM(X14:AA14)</f>
        <v>6308278</v>
      </c>
      <c r="X14" s="155">
        <f>SUM(X15:X26)</f>
        <v>5395712</v>
      </c>
      <c r="Y14" s="155">
        <f>SUM(Y15:Y27)</f>
        <v>0</v>
      </c>
      <c r="Z14" s="155">
        <f>SUM(Z15:Z26)</f>
        <v>912566</v>
      </c>
      <c r="AA14" s="152">
        <f>SUM(AA15:AA27)</f>
        <v>0</v>
      </c>
      <c r="AB14" s="152"/>
      <c r="AC14" s="96" t="s">
        <v>136</v>
      </c>
      <c r="AD14" s="96"/>
      <c r="AE14" s="96"/>
      <c r="AF14" s="163">
        <f>SUM(AG14:AJ14)</f>
        <v>180555</v>
      </c>
      <c r="AG14" s="155">
        <f>SUM(AG16:AG22)</f>
        <v>172315</v>
      </c>
      <c r="AH14" s="155">
        <f>SUM(AH16:AH22)</f>
        <v>0</v>
      </c>
      <c r="AI14" s="155">
        <f>SUM(AI16:AI22)</f>
        <v>8240</v>
      </c>
      <c r="AJ14" s="152">
        <f>SUM(AJ16:AJ22)</f>
        <v>0</v>
      </c>
      <c r="AK14" s="171">
        <v>1</v>
      </c>
      <c r="AL14" s="143" t="s">
        <v>136</v>
      </c>
      <c r="AM14" s="143"/>
      <c r="AN14" s="143"/>
      <c r="AO14" s="175">
        <f>SUM(AP14:AS14)</f>
        <v>65140</v>
      </c>
      <c r="AP14" s="175">
        <f>SUM(AP16:AP17)</f>
        <v>0</v>
      </c>
      <c r="AQ14" s="175">
        <f>SUM(AQ16:AQ17)</f>
        <v>0</v>
      </c>
      <c r="AR14" s="175">
        <f>ROUND(SUM(AR16:AR20),0)</f>
        <v>65140</v>
      </c>
      <c r="AS14" s="171">
        <f>SUM(AS16:AS17)</f>
        <v>0</v>
      </c>
      <c r="AT14" s="144" t="s">
        <v>423</v>
      </c>
      <c r="AU14" s="144"/>
      <c r="AV14" s="144"/>
      <c r="AW14" s="144"/>
      <c r="AX14" s="144"/>
      <c r="AY14" s="144"/>
      <c r="AZ14" s="280">
        <f>SUM(AZ15:AZ21)</f>
        <v>383</v>
      </c>
      <c r="BA14" s="287"/>
      <c r="BB14" s="284">
        <f>SUM(BB15:BB21)</f>
        <v>1353.555938</v>
      </c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1:68" ht="12.75">
      <c r="A15" s="103"/>
      <c r="B15" s="102" t="s">
        <v>520</v>
      </c>
      <c r="C15" s="320"/>
      <c r="D15" s="320"/>
      <c r="E15" s="148"/>
      <c r="F15" s="148"/>
      <c r="G15" s="148"/>
      <c r="H15" s="148"/>
      <c r="I15" s="149"/>
      <c r="J15" s="152">
        <v>1</v>
      </c>
      <c r="K15" s="152">
        <v>2</v>
      </c>
      <c r="L15" s="152">
        <v>3</v>
      </c>
      <c r="M15" s="152">
        <v>4</v>
      </c>
      <c r="N15" s="152">
        <v>5</v>
      </c>
      <c r="O15" s="152">
        <v>6</v>
      </c>
      <c r="P15" s="152">
        <v>7</v>
      </c>
      <c r="Q15" s="152">
        <v>8</v>
      </c>
      <c r="R15" s="152">
        <v>9</v>
      </c>
      <c r="S15" s="170" t="s">
        <v>145</v>
      </c>
      <c r="T15" s="145" t="s">
        <v>121</v>
      </c>
      <c r="U15" s="146"/>
      <c r="V15" s="146"/>
      <c r="W15" s="163">
        <f t="shared" si="0"/>
        <v>3260492</v>
      </c>
      <c r="X15" s="193">
        <f>ROUND(I20,0)</f>
        <v>3260492</v>
      </c>
      <c r="Y15" s="171">
        <v>0</v>
      </c>
      <c r="Z15" s="171">
        <v>0</v>
      </c>
      <c r="AA15" s="171">
        <v>0</v>
      </c>
      <c r="AB15" s="171">
        <v>1</v>
      </c>
      <c r="AC15" s="145" t="s">
        <v>543</v>
      </c>
      <c r="AD15" s="146"/>
      <c r="AE15" s="147"/>
      <c r="AF15" s="162"/>
      <c r="AG15" s="165"/>
      <c r="AH15" s="165"/>
      <c r="AI15" s="165"/>
      <c r="AJ15" s="303"/>
      <c r="AK15" s="319"/>
      <c r="AL15" s="145" t="s">
        <v>545</v>
      </c>
      <c r="AM15" s="146"/>
      <c r="AN15" s="147"/>
      <c r="AO15" s="175"/>
      <c r="AP15" s="171"/>
      <c r="AQ15" s="171"/>
      <c r="AR15" s="175"/>
      <c r="AS15" s="171"/>
      <c r="AT15" s="147" t="s">
        <v>174</v>
      </c>
      <c r="AU15" s="143"/>
      <c r="AV15" s="143"/>
      <c r="AW15" s="143"/>
      <c r="AX15" s="143"/>
      <c r="AY15" s="143"/>
      <c r="AZ15" s="155">
        <f>AS57-AZ16</f>
        <v>0</v>
      </c>
      <c r="BA15" s="288"/>
      <c r="BB15" s="284">
        <f>AZ15*BA15</f>
        <v>0</v>
      </c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</row>
    <row r="16" spans="1:68" ht="12.75">
      <c r="A16" s="171">
        <v>1</v>
      </c>
      <c r="B16" s="143" t="s">
        <v>249</v>
      </c>
      <c r="C16" s="197">
        <v>804152757</v>
      </c>
      <c r="D16" s="230">
        <v>3960.0193</v>
      </c>
      <c r="E16" s="230">
        <v>4057.7205</v>
      </c>
      <c r="F16" s="155">
        <v>36000</v>
      </c>
      <c r="G16" s="252">
        <f>E16-D16</f>
        <v>97.70119999999997</v>
      </c>
      <c r="H16" s="96"/>
      <c r="I16" s="155">
        <f>ROUND((F16*G16+H16),0)</f>
        <v>3517243</v>
      </c>
      <c r="J16" s="103"/>
      <c r="K16" s="148"/>
      <c r="L16" s="148" t="s">
        <v>209</v>
      </c>
      <c r="M16" s="148"/>
      <c r="N16" s="148"/>
      <c r="O16" s="148"/>
      <c r="P16" s="148"/>
      <c r="Q16" s="148"/>
      <c r="R16" s="149"/>
      <c r="S16" s="157" t="s">
        <v>146</v>
      </c>
      <c r="T16" s="159" t="s">
        <v>122</v>
      </c>
      <c r="U16" s="160"/>
      <c r="V16" s="160"/>
      <c r="W16" s="163">
        <f t="shared" si="0"/>
        <v>238012</v>
      </c>
      <c r="X16" s="186">
        <f>ROUND(I27,0)</f>
        <v>238012</v>
      </c>
      <c r="Y16" s="168">
        <v>0</v>
      </c>
      <c r="Z16" s="163">
        <v>0</v>
      </c>
      <c r="AA16" s="168">
        <v>0</v>
      </c>
      <c r="AB16" s="157" t="s">
        <v>145</v>
      </c>
      <c r="AC16" s="159" t="s">
        <v>343</v>
      </c>
      <c r="AD16" s="160"/>
      <c r="AE16" s="161"/>
      <c r="AF16" s="163">
        <f>AG16+AH16+AI16+AJ16</f>
        <v>172315</v>
      </c>
      <c r="AG16" s="163">
        <v>172315</v>
      </c>
      <c r="AH16" s="168">
        <v>0</v>
      </c>
      <c r="AI16" s="163">
        <v>0</v>
      </c>
      <c r="AJ16" s="192">
        <v>0</v>
      </c>
      <c r="AK16" s="157" t="s">
        <v>145</v>
      </c>
      <c r="AL16" s="159" t="s">
        <v>84</v>
      </c>
      <c r="AM16" s="160"/>
      <c r="AN16" s="161"/>
      <c r="AO16" s="163">
        <f>AP16+AQ16+AR16+AS16</f>
        <v>172</v>
      </c>
      <c r="AP16" s="168">
        <v>0</v>
      </c>
      <c r="AQ16" s="168">
        <v>0</v>
      </c>
      <c r="AR16" s="163">
        <v>172</v>
      </c>
      <c r="AS16" s="168">
        <v>0</v>
      </c>
      <c r="AT16" s="147" t="s">
        <v>174</v>
      </c>
      <c r="AU16" s="143"/>
      <c r="AV16" s="143"/>
      <c r="AW16" s="143"/>
      <c r="AX16" s="143"/>
      <c r="AY16" s="143"/>
      <c r="AZ16" s="155">
        <f>AS57/100*80</f>
        <v>0</v>
      </c>
      <c r="BA16" s="289"/>
      <c r="BB16" s="284">
        <f>AZ16*BA16</f>
        <v>0</v>
      </c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68" ht="12.75">
      <c r="A17" s="144"/>
      <c r="B17" s="103" t="s">
        <v>250</v>
      </c>
      <c r="C17" s="213">
        <v>109054169</v>
      </c>
      <c r="D17" s="230">
        <v>6106.6572</v>
      </c>
      <c r="E17" s="230">
        <v>6252.018</v>
      </c>
      <c r="F17" s="155">
        <v>36000</v>
      </c>
      <c r="G17" s="252">
        <f>E17-D17</f>
        <v>145.36080000000038</v>
      </c>
      <c r="H17" s="96"/>
      <c r="I17" s="155">
        <f>F17*G17+H17</f>
        <v>5232988.800000014</v>
      </c>
      <c r="J17" s="96"/>
      <c r="K17" s="102" t="s">
        <v>210</v>
      </c>
      <c r="L17" s="150"/>
      <c r="M17" s="150"/>
      <c r="N17" s="150"/>
      <c r="O17" s="150"/>
      <c r="P17" s="150"/>
      <c r="Q17" s="150"/>
      <c r="R17" s="151"/>
      <c r="S17" s="157" t="s">
        <v>147</v>
      </c>
      <c r="T17" s="159" t="s">
        <v>123</v>
      </c>
      <c r="U17" s="160"/>
      <c r="V17" s="160"/>
      <c r="W17" s="163">
        <f t="shared" si="0"/>
        <v>255615</v>
      </c>
      <c r="X17" s="186">
        <f>ROUND(I29,0)</f>
        <v>255615</v>
      </c>
      <c r="Y17" s="168">
        <v>0</v>
      </c>
      <c r="Z17" s="163">
        <v>0</v>
      </c>
      <c r="AA17" s="168">
        <v>0</v>
      </c>
      <c r="AB17" s="157" t="s">
        <v>146</v>
      </c>
      <c r="AC17" s="159" t="s">
        <v>172</v>
      </c>
      <c r="AD17" s="160"/>
      <c r="AE17" s="161"/>
      <c r="AF17" s="163">
        <f>AG17+AH17+AI17+AJ17</f>
        <v>1817</v>
      </c>
      <c r="AG17" s="168">
        <v>0</v>
      </c>
      <c r="AH17" s="168">
        <v>0</v>
      </c>
      <c r="AI17" s="163">
        <v>1817</v>
      </c>
      <c r="AJ17" s="192">
        <v>0</v>
      </c>
      <c r="AK17" s="157" t="s">
        <v>146</v>
      </c>
      <c r="AL17" s="159" t="s">
        <v>277</v>
      </c>
      <c r="AM17" s="160"/>
      <c r="AN17" s="161"/>
      <c r="AO17" s="163">
        <f>AP17+AQ17+AR17+AS17</f>
        <v>1098</v>
      </c>
      <c r="AP17" s="168">
        <v>0</v>
      </c>
      <c r="AQ17" s="168">
        <v>0</v>
      </c>
      <c r="AR17" s="163">
        <v>1098</v>
      </c>
      <c r="AS17" s="168">
        <v>0</v>
      </c>
      <c r="AT17" s="146" t="s">
        <v>141</v>
      </c>
      <c r="AU17" s="146"/>
      <c r="AV17" s="146"/>
      <c r="AW17" s="146"/>
      <c r="AX17" s="146"/>
      <c r="AY17" s="147"/>
      <c r="AZ17" s="280">
        <f>R21</f>
        <v>260</v>
      </c>
      <c r="BA17" s="290">
        <v>2.7083333</v>
      </c>
      <c r="BB17" s="284">
        <f>AZ17*BA17</f>
        <v>704.166658</v>
      </c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</row>
    <row r="18" spans="1:68" ht="12.75">
      <c r="A18" s="102"/>
      <c r="B18" s="150"/>
      <c r="C18" s="148"/>
      <c r="D18" s="150"/>
      <c r="E18" s="150"/>
      <c r="F18" s="214" t="s">
        <v>212</v>
      </c>
      <c r="G18" s="150"/>
      <c r="H18" s="151"/>
      <c r="I18" s="155">
        <f>ROUND((I16+I17+I22),0)</f>
        <v>8824242</v>
      </c>
      <c r="J18" s="152">
        <v>1</v>
      </c>
      <c r="K18" s="102" t="s">
        <v>211</v>
      </c>
      <c r="L18" s="150"/>
      <c r="M18" s="150"/>
      <c r="N18" s="150"/>
      <c r="O18" s="150"/>
      <c r="P18" s="150"/>
      <c r="Q18" s="150"/>
      <c r="R18" s="151"/>
      <c r="S18" s="157" t="s">
        <v>148</v>
      </c>
      <c r="T18" s="159" t="s">
        <v>124</v>
      </c>
      <c r="U18" s="160"/>
      <c r="V18" s="160"/>
      <c r="W18" s="163">
        <f t="shared" si="0"/>
        <v>82639</v>
      </c>
      <c r="X18" s="186">
        <f>ROUND(I31,0)</f>
        <v>82639</v>
      </c>
      <c r="Y18" s="168">
        <v>0</v>
      </c>
      <c r="Z18" s="163">
        <v>0</v>
      </c>
      <c r="AA18" s="168">
        <v>0</v>
      </c>
      <c r="AB18" s="158" t="s">
        <v>147</v>
      </c>
      <c r="AC18" s="148" t="s">
        <v>156</v>
      </c>
      <c r="AD18" s="148"/>
      <c r="AE18" s="148"/>
      <c r="AF18" s="164">
        <f>AG18+AH18+AI18+AJ18</f>
        <v>6423</v>
      </c>
      <c r="AG18" s="169">
        <v>0</v>
      </c>
      <c r="AH18" s="169">
        <v>0</v>
      </c>
      <c r="AI18" s="164">
        <v>6423</v>
      </c>
      <c r="AJ18" s="318">
        <v>0</v>
      </c>
      <c r="AK18" s="157" t="s">
        <v>147</v>
      </c>
      <c r="AL18" s="159" t="s">
        <v>135</v>
      </c>
      <c r="AM18" s="160"/>
      <c r="AN18" s="161"/>
      <c r="AO18" s="163">
        <f>AP18+AQ18+AR18+AS18</f>
        <v>43957</v>
      </c>
      <c r="AP18" s="168">
        <v>0</v>
      </c>
      <c r="AQ18" s="168">
        <v>0</v>
      </c>
      <c r="AR18" s="163">
        <v>43957</v>
      </c>
      <c r="AS18" s="168">
        <v>0</v>
      </c>
      <c r="AT18" s="146" t="s">
        <v>142</v>
      </c>
      <c r="AU18" s="146"/>
      <c r="AV18" s="146"/>
      <c r="AW18" s="146"/>
      <c r="AX18" s="146"/>
      <c r="AY18" s="147"/>
      <c r="AZ18" s="280">
        <f>R22</f>
        <v>20</v>
      </c>
      <c r="BA18" s="290">
        <v>1.28333</v>
      </c>
      <c r="BB18" s="284">
        <f>AZ18*BA18</f>
        <v>25.666600000000003</v>
      </c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</row>
    <row r="19" spans="1:68" ht="12.75">
      <c r="A19" s="96" t="s">
        <v>213</v>
      </c>
      <c r="B19" s="102" t="s">
        <v>466</v>
      </c>
      <c r="C19" s="150"/>
      <c r="D19" s="150"/>
      <c r="E19" s="150"/>
      <c r="F19" s="150"/>
      <c r="G19" s="150"/>
      <c r="H19" s="150"/>
      <c r="I19" s="151"/>
      <c r="J19" s="171" t="s">
        <v>213</v>
      </c>
      <c r="K19" s="143" t="s">
        <v>290</v>
      </c>
      <c r="L19" s="171">
        <v>16654</v>
      </c>
      <c r="M19" s="234">
        <v>4762</v>
      </c>
      <c r="N19" s="234">
        <v>4865</v>
      </c>
      <c r="O19" s="171">
        <v>1</v>
      </c>
      <c r="P19" s="258">
        <f>N19-M19</f>
        <v>103</v>
      </c>
      <c r="Q19" s="259"/>
      <c r="R19" s="175">
        <f>O19*P19+Q19</f>
        <v>103</v>
      </c>
      <c r="S19" s="157" t="s">
        <v>153</v>
      </c>
      <c r="T19" s="159" t="s">
        <v>125</v>
      </c>
      <c r="U19" s="160"/>
      <c r="V19" s="160"/>
      <c r="W19" s="163">
        <f t="shared" si="0"/>
        <v>169096</v>
      </c>
      <c r="X19" s="186">
        <f>ROUND(I33,0)</f>
        <v>169096</v>
      </c>
      <c r="Y19" s="168">
        <v>0</v>
      </c>
      <c r="Z19" s="168">
        <v>0</v>
      </c>
      <c r="AA19" s="168">
        <v>0</v>
      </c>
      <c r="AB19" s="179"/>
      <c r="AC19" s="160"/>
      <c r="AD19" s="160"/>
      <c r="AE19" s="160"/>
      <c r="AF19" s="180"/>
      <c r="AG19" s="181"/>
      <c r="AH19" s="181"/>
      <c r="AI19" s="180"/>
      <c r="AJ19" s="181"/>
      <c r="AK19" s="157" t="s">
        <v>148</v>
      </c>
      <c r="AL19" s="159" t="s">
        <v>158</v>
      </c>
      <c r="AM19" s="160"/>
      <c r="AN19" s="161"/>
      <c r="AO19" s="163">
        <f>AP19+AQ19+AR19+AS19</f>
        <v>794</v>
      </c>
      <c r="AP19" s="163">
        <v>0</v>
      </c>
      <c r="AQ19" s="168">
        <v>0</v>
      </c>
      <c r="AR19" s="163">
        <v>794</v>
      </c>
      <c r="AS19" s="168">
        <v>0</v>
      </c>
      <c r="AT19" s="146" t="s">
        <v>182</v>
      </c>
      <c r="AU19" s="146"/>
      <c r="AV19" s="146"/>
      <c r="AW19" s="146"/>
      <c r="AX19" s="146"/>
      <c r="AY19" s="147"/>
      <c r="AZ19" s="291">
        <f>R19+R20</f>
        <v>103</v>
      </c>
      <c r="BA19" s="285">
        <v>6.05556</v>
      </c>
      <c r="BB19" s="284">
        <f>AZ19*BA19</f>
        <v>623.72268</v>
      </c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</row>
    <row r="20" spans="1:68" ht="12.75">
      <c r="A20" s="96" t="s">
        <v>215</v>
      </c>
      <c r="B20" s="96" t="s">
        <v>216</v>
      </c>
      <c r="C20" s="213">
        <v>109053225</v>
      </c>
      <c r="D20" s="230">
        <v>17872.7368</v>
      </c>
      <c r="E20" s="230">
        <v>18027.9983</v>
      </c>
      <c r="F20" s="155">
        <v>21000</v>
      </c>
      <c r="G20" s="252">
        <f>E20-D20</f>
        <v>155.26150000000052</v>
      </c>
      <c r="H20" s="96"/>
      <c r="I20" s="155">
        <f>ROUND((F20*G20+H20),0)</f>
        <v>3260492</v>
      </c>
      <c r="J20" s="144"/>
      <c r="K20" s="144" t="s">
        <v>291</v>
      </c>
      <c r="L20" s="144"/>
      <c r="M20" s="144"/>
      <c r="N20" s="144"/>
      <c r="O20" s="144"/>
      <c r="P20" s="185"/>
      <c r="Q20" s="260"/>
      <c r="R20" s="276"/>
      <c r="S20" s="157" t="s">
        <v>157</v>
      </c>
      <c r="T20" s="159" t="s">
        <v>126</v>
      </c>
      <c r="U20" s="160"/>
      <c r="V20" s="160"/>
      <c r="W20" s="163">
        <f t="shared" si="0"/>
        <v>641918</v>
      </c>
      <c r="X20" s="186">
        <f>ROUND(I35,0)</f>
        <v>641918</v>
      </c>
      <c r="Y20" s="168">
        <v>0</v>
      </c>
      <c r="Z20" s="163">
        <v>0</v>
      </c>
      <c r="AA20" s="168">
        <v>0</v>
      </c>
      <c r="AB20" s="179"/>
      <c r="AC20" s="160"/>
      <c r="AD20" s="160"/>
      <c r="AE20" s="160"/>
      <c r="AF20" s="180"/>
      <c r="AG20" s="180"/>
      <c r="AH20" s="181"/>
      <c r="AI20" s="180"/>
      <c r="AJ20" s="181"/>
      <c r="AK20" s="158" t="s">
        <v>153</v>
      </c>
      <c r="AL20" s="103" t="s">
        <v>544</v>
      </c>
      <c r="AM20" s="148"/>
      <c r="AN20" s="149"/>
      <c r="AO20" s="164">
        <f>AP20+AQ20+AR20+AS20</f>
        <v>19119</v>
      </c>
      <c r="AP20" s="164"/>
      <c r="AQ20" s="169"/>
      <c r="AR20" s="164">
        <v>19119</v>
      </c>
      <c r="AS20" s="169"/>
      <c r="AT20" s="146" t="s">
        <v>416</v>
      </c>
      <c r="AU20" s="146"/>
      <c r="AV20" s="146"/>
      <c r="AW20" s="146"/>
      <c r="AX20" s="146"/>
      <c r="AY20" s="147"/>
      <c r="AZ20" s="280"/>
      <c r="BA20" s="290"/>
      <c r="BB20" s="279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</row>
    <row r="21" spans="1:68" ht="12.75">
      <c r="A21" s="96" t="s">
        <v>521</v>
      </c>
      <c r="B21" s="150" t="s">
        <v>524</v>
      </c>
      <c r="C21" s="148"/>
      <c r="D21" s="150"/>
      <c r="E21" s="150"/>
      <c r="F21" s="214"/>
      <c r="G21" s="150"/>
      <c r="H21" s="151"/>
      <c r="I21" s="155"/>
      <c r="J21" s="143" t="s">
        <v>219</v>
      </c>
      <c r="K21" s="143" t="s">
        <v>293</v>
      </c>
      <c r="L21" s="377">
        <v>122848480</v>
      </c>
      <c r="M21" s="376">
        <v>393</v>
      </c>
      <c r="N21" s="376">
        <v>406</v>
      </c>
      <c r="O21" s="152">
        <v>20</v>
      </c>
      <c r="P21" s="375">
        <f>N21-M21</f>
        <v>13</v>
      </c>
      <c r="Q21" s="261"/>
      <c r="R21" s="155">
        <f>O21*P21+Q21</f>
        <v>260</v>
      </c>
      <c r="S21" s="157" t="s">
        <v>161</v>
      </c>
      <c r="T21" s="159" t="s">
        <v>127</v>
      </c>
      <c r="U21" s="160"/>
      <c r="V21" s="160"/>
      <c r="W21" s="163">
        <f t="shared" si="0"/>
        <v>166751</v>
      </c>
      <c r="X21" s="186">
        <f>ROUND(I37,0)</f>
        <v>166751</v>
      </c>
      <c r="Y21" s="168">
        <v>0</v>
      </c>
      <c r="Z21" s="163">
        <v>0</v>
      </c>
      <c r="AA21" s="168">
        <v>0</v>
      </c>
      <c r="AB21" s="179"/>
      <c r="AC21" s="160"/>
      <c r="AD21" s="160"/>
      <c r="AE21" s="160"/>
      <c r="AF21" s="180"/>
      <c r="AG21" s="180"/>
      <c r="AH21" s="181"/>
      <c r="AI21" s="180"/>
      <c r="AJ21" s="181"/>
      <c r="AK21" s="179"/>
      <c r="AL21" s="160"/>
      <c r="AM21" s="160"/>
      <c r="AN21" s="160"/>
      <c r="AO21" s="180"/>
      <c r="AP21" s="181"/>
      <c r="AQ21" s="182"/>
      <c r="AR21" s="180"/>
      <c r="AS21" s="181"/>
      <c r="AT21" s="102"/>
      <c r="AU21" s="146"/>
      <c r="AV21" s="146"/>
      <c r="AW21" s="146"/>
      <c r="AX21" s="146"/>
      <c r="AY21" s="147"/>
      <c r="AZ21" s="280"/>
      <c r="BA21" s="290"/>
      <c r="BB21" s="279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</row>
    <row r="22" spans="1:68" ht="12.75">
      <c r="A22" s="96" t="s">
        <v>522</v>
      </c>
      <c r="B22" s="102" t="s">
        <v>525</v>
      </c>
      <c r="C22" s="150"/>
      <c r="D22" s="150"/>
      <c r="E22" s="150"/>
      <c r="F22" s="150"/>
      <c r="G22" s="150"/>
      <c r="H22" s="151"/>
      <c r="I22" s="280">
        <v>74010</v>
      </c>
      <c r="J22" s="144"/>
      <c r="K22" s="144" t="s">
        <v>292</v>
      </c>
      <c r="L22" s="377">
        <v>122848480</v>
      </c>
      <c r="M22" s="376">
        <v>103</v>
      </c>
      <c r="N22" s="376">
        <v>104</v>
      </c>
      <c r="O22" s="152">
        <v>20</v>
      </c>
      <c r="P22" s="375">
        <f>N22-M22</f>
        <v>1</v>
      </c>
      <c r="Q22" s="261"/>
      <c r="R22" s="155">
        <f>O22*P22+Q22</f>
        <v>20</v>
      </c>
      <c r="S22" s="157" t="s">
        <v>162</v>
      </c>
      <c r="T22" s="159" t="s">
        <v>128</v>
      </c>
      <c r="U22" s="160"/>
      <c r="V22" s="160"/>
      <c r="W22" s="163">
        <f t="shared" si="0"/>
        <v>581189</v>
      </c>
      <c r="X22" s="186">
        <f>ROUND(I39,0)</f>
        <v>581189</v>
      </c>
      <c r="Y22" s="168">
        <v>0</v>
      </c>
      <c r="Z22" s="168">
        <v>0</v>
      </c>
      <c r="AA22" s="168">
        <v>0</v>
      </c>
      <c r="AB22" s="179"/>
      <c r="AC22" s="160"/>
      <c r="AD22" s="160"/>
      <c r="AE22" s="160"/>
      <c r="AF22" s="180"/>
      <c r="AG22" s="181"/>
      <c r="AH22" s="181"/>
      <c r="AI22" s="180"/>
      <c r="AJ22" s="181"/>
      <c r="AK22" s="179"/>
      <c r="AL22" s="160"/>
      <c r="AM22" s="160"/>
      <c r="AN22" s="160"/>
      <c r="AO22" s="180"/>
      <c r="AP22" s="181"/>
      <c r="AQ22" s="182"/>
      <c r="AR22" s="180"/>
      <c r="AS22" s="181"/>
      <c r="AT22" s="255" t="s">
        <v>22</v>
      </c>
      <c r="AU22" s="256"/>
      <c r="AV22" s="256"/>
      <c r="AW22" s="256"/>
      <c r="AX22" s="146"/>
      <c r="AY22" s="147"/>
      <c r="AZ22" s="280"/>
      <c r="BA22" s="293"/>
      <c r="BB22" s="29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</row>
    <row r="23" spans="1:68" ht="12.75">
      <c r="A23" s="102"/>
      <c r="B23" s="102"/>
      <c r="C23" s="371"/>
      <c r="D23" s="372"/>
      <c r="E23" s="372"/>
      <c r="F23" s="373"/>
      <c r="G23" s="374"/>
      <c r="H23" s="151"/>
      <c r="I23" s="280"/>
      <c r="J23" s="102"/>
      <c r="K23" s="245"/>
      <c r="L23" s="245"/>
      <c r="M23" s="245"/>
      <c r="N23" s="245"/>
      <c r="O23" s="245"/>
      <c r="P23" s="246" t="s">
        <v>274</v>
      </c>
      <c r="Q23" s="247"/>
      <c r="R23" s="155">
        <f>R19+R21+R22+R20</f>
        <v>383</v>
      </c>
      <c r="S23" s="157" t="s">
        <v>163</v>
      </c>
      <c r="T23" s="159" t="s">
        <v>129</v>
      </c>
      <c r="U23" s="160"/>
      <c r="V23" s="160"/>
      <c r="W23" s="163">
        <f t="shared" si="0"/>
        <v>731874</v>
      </c>
      <c r="X23" s="186">
        <v>0</v>
      </c>
      <c r="Y23" s="168">
        <v>0</v>
      </c>
      <c r="Z23" s="163">
        <f>I26+I25</f>
        <v>731874</v>
      </c>
      <c r="AA23" s="168">
        <v>0</v>
      </c>
      <c r="AB23" s="179"/>
      <c r="AC23" s="160"/>
      <c r="AD23" s="160"/>
      <c r="AE23" s="160"/>
      <c r="AF23" s="180"/>
      <c r="AG23" s="181"/>
      <c r="AH23" s="182"/>
      <c r="AI23" s="180"/>
      <c r="AJ23" s="181"/>
      <c r="AK23" s="179"/>
      <c r="AL23" s="160"/>
      <c r="AM23" s="160"/>
      <c r="AN23" s="160"/>
      <c r="AO23" s="180"/>
      <c r="AP23" s="181"/>
      <c r="AQ23" s="182"/>
      <c r="AR23" s="180"/>
      <c r="AS23" s="181"/>
      <c r="AT23" s="145" t="s">
        <v>23</v>
      </c>
      <c r="AU23" s="146"/>
      <c r="AV23" s="146"/>
      <c r="AW23" s="146"/>
      <c r="AX23" s="146"/>
      <c r="AY23" s="147"/>
      <c r="AZ23" s="280"/>
      <c r="BA23" s="293"/>
      <c r="BB23" s="279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</row>
    <row r="24" spans="1:68" ht="12.75">
      <c r="A24" s="96" t="s">
        <v>219</v>
      </c>
      <c r="B24" s="103" t="s">
        <v>220</v>
      </c>
      <c r="C24" s="148"/>
      <c r="D24" s="148"/>
      <c r="E24" s="148"/>
      <c r="F24" s="148"/>
      <c r="G24" s="148"/>
      <c r="H24" s="148"/>
      <c r="I24" s="151"/>
      <c r="J24" s="145"/>
      <c r="K24" s="146"/>
      <c r="L24" s="146"/>
      <c r="M24" s="146"/>
      <c r="N24" s="146"/>
      <c r="O24" s="146"/>
      <c r="P24" s="248"/>
      <c r="Q24" s="249"/>
      <c r="R24" s="250"/>
      <c r="S24" s="157" t="s">
        <v>164</v>
      </c>
      <c r="T24" s="160" t="s">
        <v>130</v>
      </c>
      <c r="U24" s="160"/>
      <c r="V24" s="160"/>
      <c r="W24" s="163">
        <f t="shared" si="0"/>
        <v>1102</v>
      </c>
      <c r="X24" s="186">
        <v>0</v>
      </c>
      <c r="Y24" s="168">
        <v>0</v>
      </c>
      <c r="Z24" s="163">
        <f>I41</f>
        <v>1102</v>
      </c>
      <c r="AA24" s="168">
        <v>0</v>
      </c>
      <c r="AB24" s="153"/>
      <c r="AC24" s="120" t="s">
        <v>189</v>
      </c>
      <c r="AD24" s="120"/>
      <c r="AE24" s="120"/>
      <c r="AF24" s="154"/>
      <c r="AG24" s="154"/>
      <c r="AH24" s="154"/>
      <c r="AI24" s="154"/>
      <c r="AJ24" s="154"/>
      <c r="AK24" s="153"/>
      <c r="AL24" s="120" t="s">
        <v>278</v>
      </c>
      <c r="AM24" s="120"/>
      <c r="AN24" s="120"/>
      <c r="AO24" s="154"/>
      <c r="AP24" s="154"/>
      <c r="AQ24" s="154"/>
      <c r="AR24" s="154"/>
      <c r="AS24" s="154"/>
      <c r="AT24" s="262" t="s">
        <v>139</v>
      </c>
      <c r="AU24" s="245"/>
      <c r="AV24" s="245"/>
      <c r="AW24" s="245"/>
      <c r="AX24" s="245"/>
      <c r="AY24" s="263"/>
      <c r="AZ24" s="295"/>
      <c r="BA24" s="287"/>
      <c r="BB24" s="28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</row>
    <row r="25" spans="1:68" ht="12.75">
      <c r="A25" s="143" t="s">
        <v>221</v>
      </c>
      <c r="B25" s="143" t="s">
        <v>224</v>
      </c>
      <c r="C25" s="197"/>
      <c r="D25" s="323"/>
      <c r="E25" s="323"/>
      <c r="F25" s="164"/>
      <c r="G25" s="324"/>
      <c r="H25" s="164"/>
      <c r="I25" s="164"/>
      <c r="J25" s="159" t="s">
        <v>275</v>
      </c>
      <c r="K25" s="160"/>
      <c r="L25" s="160"/>
      <c r="M25" s="160"/>
      <c r="N25" s="160"/>
      <c r="O25" s="160"/>
      <c r="P25" s="190"/>
      <c r="Q25" s="238"/>
      <c r="R25" s="251"/>
      <c r="S25" s="157" t="s">
        <v>165</v>
      </c>
      <c r="T25" s="160" t="s">
        <v>131</v>
      </c>
      <c r="U25" s="160"/>
      <c r="V25" s="160"/>
      <c r="W25" s="163">
        <f t="shared" si="0"/>
        <v>147361</v>
      </c>
      <c r="X25" s="186">
        <v>0</v>
      </c>
      <c r="Y25" s="168">
        <v>0</v>
      </c>
      <c r="Z25" s="163">
        <f>I43</f>
        <v>147361</v>
      </c>
      <c r="AA25" s="168">
        <v>0</v>
      </c>
      <c r="AB25" s="153"/>
      <c r="AC25" s="120" t="s">
        <v>533</v>
      </c>
      <c r="AD25" s="120"/>
      <c r="AE25" s="120"/>
      <c r="AF25" s="120"/>
      <c r="AG25" s="120"/>
      <c r="AH25" s="120"/>
      <c r="AI25" s="120"/>
      <c r="AJ25" s="120"/>
      <c r="AK25" s="153"/>
      <c r="AL25" s="120" t="s">
        <v>533</v>
      </c>
      <c r="AM25" s="120"/>
      <c r="AN25" s="120"/>
      <c r="AO25" s="120"/>
      <c r="AP25" s="120"/>
      <c r="AQ25" s="120"/>
      <c r="AR25" s="120"/>
      <c r="AS25" s="120"/>
      <c r="AT25" s="103" t="s">
        <v>183</v>
      </c>
      <c r="AU25" s="148"/>
      <c r="AV25" s="148"/>
      <c r="AW25" s="148"/>
      <c r="AX25" s="148"/>
      <c r="AY25" s="149"/>
      <c r="AZ25" s="296">
        <v>7.91</v>
      </c>
      <c r="BA25" s="297">
        <v>35268</v>
      </c>
      <c r="BB25" s="284">
        <f>AZ25*BA25</f>
        <v>278969.88</v>
      </c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</row>
    <row r="26" spans="1:68" ht="12.75">
      <c r="A26" s="144"/>
      <c r="B26" s="144" t="s">
        <v>222</v>
      </c>
      <c r="C26" s="198">
        <v>109056121</v>
      </c>
      <c r="D26" s="323">
        <v>20491.4856</v>
      </c>
      <c r="E26" s="323">
        <v>20643.9593</v>
      </c>
      <c r="F26" s="164">
        <v>4800</v>
      </c>
      <c r="G26" s="324">
        <f aca="true" t="shared" si="1" ref="G26:G43">E26-D26</f>
        <v>152.47369999999864</v>
      </c>
      <c r="H26" s="164"/>
      <c r="I26" s="164">
        <f>ROUND(F26*G26+H26,0)</f>
        <v>731874</v>
      </c>
      <c r="J26" s="222" t="s">
        <v>548</v>
      </c>
      <c r="K26" s="223"/>
      <c r="L26" s="223"/>
      <c r="M26" s="191"/>
      <c r="N26" s="148"/>
      <c r="O26" s="148"/>
      <c r="P26" s="148"/>
      <c r="Q26" s="148"/>
      <c r="R26" s="209"/>
      <c r="S26" s="158" t="s">
        <v>166</v>
      </c>
      <c r="T26" s="148" t="s">
        <v>132</v>
      </c>
      <c r="U26" s="148"/>
      <c r="V26" s="148"/>
      <c r="W26" s="164">
        <f>SUM(X26:AA26)</f>
        <v>32229</v>
      </c>
      <c r="X26" s="187">
        <v>0</v>
      </c>
      <c r="Y26" s="169">
        <v>0</v>
      </c>
      <c r="Z26" s="164">
        <f>I45+I46</f>
        <v>32229</v>
      </c>
      <c r="AA26" s="169">
        <v>0</v>
      </c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02" t="s">
        <v>184</v>
      </c>
      <c r="AU26" s="150"/>
      <c r="AV26" s="150"/>
      <c r="AW26" s="150"/>
      <c r="AX26" s="160"/>
      <c r="AY26" s="161"/>
      <c r="AZ26" s="296">
        <f>(X14+AG14+AP14)/1000</f>
        <v>5568.027</v>
      </c>
      <c r="BA26" s="279">
        <v>17</v>
      </c>
      <c r="BB26" s="284">
        <f>AZ26*BA26</f>
        <v>94656.459</v>
      </c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</row>
    <row r="27" spans="1:68" ht="12.75">
      <c r="A27" s="143" t="s">
        <v>223</v>
      </c>
      <c r="B27" s="143" t="s">
        <v>235</v>
      </c>
      <c r="C27" s="197">
        <v>623125232</v>
      </c>
      <c r="D27" s="325">
        <v>8796.5206</v>
      </c>
      <c r="E27" s="325">
        <v>8928.7493</v>
      </c>
      <c r="F27" s="175">
        <v>1800</v>
      </c>
      <c r="G27" s="326">
        <f t="shared" si="1"/>
        <v>132.22869999999966</v>
      </c>
      <c r="H27" s="171"/>
      <c r="I27" s="175">
        <f>ROUND(G27*F27,0)</f>
        <v>238012</v>
      </c>
      <c r="J27" s="120"/>
      <c r="K27" s="160"/>
      <c r="L27" s="160"/>
      <c r="M27" s="160"/>
      <c r="N27" s="160"/>
      <c r="O27" s="160"/>
      <c r="P27" s="190"/>
      <c r="Q27" s="238"/>
      <c r="R27" s="237"/>
      <c r="S27" s="179"/>
      <c r="T27" s="160"/>
      <c r="U27" s="160"/>
      <c r="V27" s="160"/>
      <c r="W27" s="180"/>
      <c r="X27" s="180"/>
      <c r="Y27" s="181"/>
      <c r="Z27" s="180"/>
      <c r="AA27" s="181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03" t="s">
        <v>185</v>
      </c>
      <c r="AU27" s="148"/>
      <c r="AV27" s="148"/>
      <c r="AW27" s="148"/>
      <c r="AX27" s="146"/>
      <c r="AY27" s="147"/>
      <c r="AZ27" s="296">
        <v>2.26</v>
      </c>
      <c r="BA27" s="279">
        <v>35268</v>
      </c>
      <c r="BB27" s="279">
        <f>AZ27*BA27</f>
        <v>79705.68</v>
      </c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</row>
    <row r="28" spans="1:68" ht="12.75">
      <c r="A28" s="144"/>
      <c r="B28" s="144" t="s">
        <v>222</v>
      </c>
      <c r="C28" s="169"/>
      <c r="D28" s="228"/>
      <c r="E28" s="228"/>
      <c r="F28" s="164"/>
      <c r="G28" s="227"/>
      <c r="H28" s="169"/>
      <c r="I28" s="164"/>
      <c r="J28" s="160" t="s">
        <v>279</v>
      </c>
      <c r="K28" s="160"/>
      <c r="L28" s="264"/>
      <c r="M28" s="181"/>
      <c r="N28" s="265"/>
      <c r="O28" s="265"/>
      <c r="P28" s="188"/>
      <c r="Q28" s="160"/>
      <c r="R28" s="190"/>
      <c r="S28" s="120"/>
      <c r="T28" s="120"/>
      <c r="U28" s="120"/>
      <c r="V28" s="120"/>
      <c r="W28" s="120"/>
      <c r="X28" s="120"/>
      <c r="Y28" s="120"/>
      <c r="Z28" s="120"/>
      <c r="AA28" s="120"/>
      <c r="AB28" s="120" t="s">
        <v>447</v>
      </c>
      <c r="AC28" s="120"/>
      <c r="AD28" s="120"/>
      <c r="AE28" s="120"/>
      <c r="AF28" s="120"/>
      <c r="AG28" s="120" t="s">
        <v>450</v>
      </c>
      <c r="AH28" s="120"/>
      <c r="AI28" s="120" t="s">
        <v>451</v>
      </c>
      <c r="AJ28" s="120"/>
      <c r="AK28" s="120" t="s">
        <v>447</v>
      </c>
      <c r="AL28" s="120"/>
      <c r="AM28" s="120"/>
      <c r="AN28" s="120"/>
      <c r="AO28" s="120"/>
      <c r="AP28" s="120" t="s">
        <v>151</v>
      </c>
      <c r="AQ28" s="120"/>
      <c r="AR28" s="120" t="s">
        <v>152</v>
      </c>
      <c r="AS28" s="120"/>
      <c r="AT28" s="159" t="s">
        <v>186</v>
      </c>
      <c r="AU28" s="160"/>
      <c r="AV28" s="160"/>
      <c r="AW28" s="160"/>
      <c r="AX28" s="146"/>
      <c r="AY28" s="147"/>
      <c r="AZ28" s="296">
        <f>(Z14+AI14+AR14)/1000</f>
        <v>985.946</v>
      </c>
      <c r="BA28" s="279">
        <v>17</v>
      </c>
      <c r="BB28" s="284">
        <f>AZ28*BA28</f>
        <v>16761.082000000002</v>
      </c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</row>
    <row r="29" spans="1:68" ht="12.75">
      <c r="A29" s="143" t="s">
        <v>225</v>
      </c>
      <c r="B29" s="143" t="s">
        <v>236</v>
      </c>
      <c r="C29" s="197">
        <v>623125667</v>
      </c>
      <c r="D29" s="325">
        <v>9407.2909</v>
      </c>
      <c r="E29" s="325">
        <v>9549.2991</v>
      </c>
      <c r="F29" s="175">
        <v>1800</v>
      </c>
      <c r="G29" s="326">
        <f t="shared" si="1"/>
        <v>142.00820000000022</v>
      </c>
      <c r="H29" s="171"/>
      <c r="I29" s="175">
        <f>ROUND(G29*F29,0)</f>
        <v>255615</v>
      </c>
      <c r="J29" s="160"/>
      <c r="K29" s="160"/>
      <c r="L29" s="181"/>
      <c r="M29" s="181"/>
      <c r="N29" s="188"/>
      <c r="O29" s="188"/>
      <c r="P29" s="188"/>
      <c r="Q29" s="160"/>
      <c r="R29" s="190"/>
      <c r="S29" s="120"/>
      <c r="T29" s="120"/>
      <c r="U29" s="120"/>
      <c r="V29" s="120"/>
      <c r="W29" s="120"/>
      <c r="X29" s="120"/>
      <c r="Y29" s="120"/>
      <c r="Z29" s="120"/>
      <c r="AA29" s="120"/>
      <c r="AB29" s="120" t="s">
        <v>527</v>
      </c>
      <c r="AC29" s="120"/>
      <c r="AD29" s="120"/>
      <c r="AE29" s="120"/>
      <c r="AF29" s="120"/>
      <c r="AG29" s="120" t="s">
        <v>150</v>
      </c>
      <c r="AH29" s="120"/>
      <c r="AI29" s="120"/>
      <c r="AJ29" s="120"/>
      <c r="AK29" s="120" t="s">
        <v>527</v>
      </c>
      <c r="AL29" s="120"/>
      <c r="AM29" s="120"/>
      <c r="AN29" s="120"/>
      <c r="AO29" s="120"/>
      <c r="AP29" s="120" t="s">
        <v>150</v>
      </c>
      <c r="AQ29" s="120"/>
      <c r="AR29" s="120"/>
      <c r="AS29" s="120"/>
      <c r="AT29" s="145"/>
      <c r="AU29" s="146"/>
      <c r="AV29" s="146"/>
      <c r="AW29" s="146"/>
      <c r="AX29" s="146"/>
      <c r="AY29" s="147"/>
      <c r="AZ29" s="280"/>
      <c r="BA29" s="287"/>
      <c r="BB29" s="28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</row>
    <row r="30" spans="1:68" ht="12.75">
      <c r="A30" s="144"/>
      <c r="B30" s="144" t="s">
        <v>222</v>
      </c>
      <c r="C30" s="169"/>
      <c r="D30" s="228"/>
      <c r="E30" s="228"/>
      <c r="F30" s="164"/>
      <c r="G30" s="227"/>
      <c r="H30" s="169"/>
      <c r="I30" s="164"/>
      <c r="J30" s="160"/>
      <c r="K30" s="160"/>
      <c r="L30" s="181"/>
      <c r="M30" s="181"/>
      <c r="N30" s="188"/>
      <c r="O30" s="188"/>
      <c r="P30" s="188"/>
      <c r="Q30" s="160"/>
      <c r="R30" s="19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45"/>
      <c r="AU30" s="146"/>
      <c r="AV30" s="146"/>
      <c r="AW30" s="146"/>
      <c r="AX30" s="146"/>
      <c r="AY30" s="147"/>
      <c r="AZ30" s="280"/>
      <c r="BA30" s="287"/>
      <c r="BB30" s="28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</row>
    <row r="31" spans="1:68" ht="12.75">
      <c r="A31" s="143" t="s">
        <v>226</v>
      </c>
      <c r="B31" s="143" t="s">
        <v>237</v>
      </c>
      <c r="C31" s="197">
        <v>623126370</v>
      </c>
      <c r="D31" s="325">
        <v>2587.305</v>
      </c>
      <c r="E31" s="325">
        <v>2604.5215</v>
      </c>
      <c r="F31" s="175">
        <v>4800</v>
      </c>
      <c r="G31" s="326">
        <f t="shared" si="1"/>
        <v>17.216499999999996</v>
      </c>
      <c r="H31" s="171"/>
      <c r="I31" s="175">
        <f>ROUND(G31*F31,0)</f>
        <v>82639</v>
      </c>
      <c r="J31" s="160"/>
      <c r="K31" s="160"/>
      <c r="L31" s="264"/>
      <c r="M31" s="181"/>
      <c r="N31" s="265" t="s">
        <v>280</v>
      </c>
      <c r="O31" s="265"/>
      <c r="P31" s="188"/>
      <c r="Q31" s="160"/>
      <c r="R31" s="190"/>
      <c r="S31" s="120" t="s">
        <v>447</v>
      </c>
      <c r="T31" s="120"/>
      <c r="U31" s="120"/>
      <c r="V31" s="120"/>
      <c r="W31" s="120"/>
      <c r="X31" s="120" t="s">
        <v>450</v>
      </c>
      <c r="Y31" s="120"/>
      <c r="Z31" s="120" t="s">
        <v>451</v>
      </c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45"/>
      <c r="AU31" s="146"/>
      <c r="AV31" s="146"/>
      <c r="AW31" s="146"/>
      <c r="AX31" s="146"/>
      <c r="AY31" s="147"/>
      <c r="AZ31" s="280"/>
      <c r="BA31" s="287"/>
      <c r="BB31" s="28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</row>
    <row r="32" spans="1:68" ht="12.75">
      <c r="A32" s="144"/>
      <c r="B32" s="144" t="s">
        <v>222</v>
      </c>
      <c r="C32" s="169"/>
      <c r="D32" s="228"/>
      <c r="E32" s="228"/>
      <c r="F32" s="164"/>
      <c r="G32" s="227"/>
      <c r="H32" s="169"/>
      <c r="I32" s="164"/>
      <c r="J32" s="160"/>
      <c r="K32" s="160"/>
      <c r="L32" s="181"/>
      <c r="M32" s="181"/>
      <c r="N32" s="265" t="s">
        <v>529</v>
      </c>
      <c r="O32" s="265"/>
      <c r="P32" s="188"/>
      <c r="Q32" s="160"/>
      <c r="R32" s="190"/>
      <c r="S32" s="120" t="s">
        <v>527</v>
      </c>
      <c r="T32" s="120"/>
      <c r="U32" s="120"/>
      <c r="V32" s="120"/>
      <c r="W32" s="120"/>
      <c r="X32" s="120" t="s">
        <v>150</v>
      </c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45" t="s">
        <v>432</v>
      </c>
      <c r="AU32" s="146"/>
      <c r="AV32" s="146"/>
      <c r="AW32" s="146"/>
      <c r="AX32" s="146"/>
      <c r="AY32" s="147"/>
      <c r="AZ32" s="280"/>
      <c r="BA32" s="298"/>
      <c r="BB32" s="279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</row>
    <row r="33" spans="1:68" ht="12.75">
      <c r="A33" s="143" t="s">
        <v>227</v>
      </c>
      <c r="B33" s="143" t="s">
        <v>238</v>
      </c>
      <c r="C33" s="197">
        <v>623125137</v>
      </c>
      <c r="D33" s="325">
        <v>2050.6882</v>
      </c>
      <c r="E33" s="325">
        <v>2085.9165</v>
      </c>
      <c r="F33" s="175">
        <v>4800</v>
      </c>
      <c r="G33" s="326">
        <f t="shared" si="1"/>
        <v>35.22829999999976</v>
      </c>
      <c r="H33" s="171"/>
      <c r="I33" s="175">
        <f>ROUND(G33*F33,0)</f>
        <v>169096</v>
      </c>
      <c r="J33" s="160"/>
      <c r="K33" s="160"/>
      <c r="L33" s="264"/>
      <c r="M33" s="181"/>
      <c r="N33" s="265" t="s">
        <v>563</v>
      </c>
      <c r="O33" s="265"/>
      <c r="P33" s="188"/>
      <c r="Q33" s="160"/>
      <c r="R33" s="190"/>
      <c r="S33" s="120"/>
      <c r="T33" s="120"/>
      <c r="U33" s="120"/>
      <c r="V33" s="120"/>
      <c r="W33" s="120"/>
      <c r="X33" s="120"/>
      <c r="Y33" s="120"/>
      <c r="Z33" s="120"/>
      <c r="AA33" s="120"/>
      <c r="AB33" s="120" t="s">
        <v>149</v>
      </c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45" t="s">
        <v>430</v>
      </c>
      <c r="AU33" s="146"/>
      <c r="AV33" s="146"/>
      <c r="AW33" s="146"/>
      <c r="AX33" s="146"/>
      <c r="AY33" s="147"/>
      <c r="AZ33" s="280"/>
      <c r="BA33" s="287"/>
      <c r="BB33" s="279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</row>
    <row r="34" spans="1:68" ht="12.75">
      <c r="A34" s="144"/>
      <c r="B34" s="144" t="s">
        <v>222</v>
      </c>
      <c r="C34" s="169"/>
      <c r="D34" s="228"/>
      <c r="E34" s="228"/>
      <c r="F34" s="164"/>
      <c r="G34" s="227"/>
      <c r="H34" s="169"/>
      <c r="I34" s="164"/>
      <c r="J34" s="160"/>
      <c r="K34" s="160"/>
      <c r="L34" s="181"/>
      <c r="M34" s="181"/>
      <c r="N34" s="265"/>
      <c r="O34" s="265"/>
      <c r="P34" s="188"/>
      <c r="Q34" s="160"/>
      <c r="R34" s="190"/>
      <c r="S34" s="120"/>
      <c r="T34" s="120"/>
      <c r="U34" s="120"/>
      <c r="V34" s="120"/>
      <c r="W34" s="120"/>
      <c r="X34" s="120"/>
      <c r="Y34" s="120"/>
      <c r="Z34" s="120"/>
      <c r="AA34" s="120"/>
      <c r="AB34" s="120" t="s">
        <v>18</v>
      </c>
      <c r="AC34" s="120"/>
      <c r="AD34" s="120"/>
      <c r="AE34" s="120"/>
      <c r="AF34" s="120"/>
      <c r="AG34" s="120"/>
      <c r="AH34" s="120"/>
      <c r="AI34" s="120"/>
      <c r="AJ34" s="120"/>
      <c r="AK34" s="120" t="s">
        <v>149</v>
      </c>
      <c r="AL34" s="120"/>
      <c r="AM34" s="120"/>
      <c r="AN34" s="120"/>
      <c r="AO34" s="120"/>
      <c r="AP34" s="120"/>
      <c r="AQ34" s="120"/>
      <c r="AR34" s="120"/>
      <c r="AS34" s="120"/>
      <c r="AT34" s="145" t="s">
        <v>437</v>
      </c>
      <c r="AU34" s="146"/>
      <c r="AV34" s="146"/>
      <c r="AW34" s="146"/>
      <c r="AX34" s="146"/>
      <c r="AY34" s="147"/>
      <c r="AZ34" s="280"/>
      <c r="BA34" s="293"/>
      <c r="BB34" s="279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</row>
    <row r="35" spans="1:68" ht="12.75">
      <c r="A35" s="143" t="s">
        <v>228</v>
      </c>
      <c r="B35" s="143" t="s">
        <v>239</v>
      </c>
      <c r="C35" s="197">
        <v>623125142</v>
      </c>
      <c r="D35" s="325">
        <v>12834.7854</v>
      </c>
      <c r="E35" s="325">
        <v>13102.2513</v>
      </c>
      <c r="F35" s="175">
        <v>2400</v>
      </c>
      <c r="G35" s="326">
        <f t="shared" si="1"/>
        <v>267.46589999999924</v>
      </c>
      <c r="H35" s="171"/>
      <c r="I35" s="175">
        <f>ROUND(G35*F35,0)</f>
        <v>641918</v>
      </c>
      <c r="J35" s="160"/>
      <c r="K35" s="160"/>
      <c r="L35" s="264"/>
      <c r="M35" s="181"/>
      <c r="N35" s="266" t="s">
        <v>283</v>
      </c>
      <c r="O35" s="266"/>
      <c r="P35" s="188"/>
      <c r="Q35" s="160"/>
      <c r="R35" s="190"/>
      <c r="S35" s="120"/>
      <c r="T35" s="120"/>
      <c r="U35" s="120"/>
      <c r="V35" s="120"/>
      <c r="W35" s="120"/>
      <c r="X35" s="120"/>
      <c r="Y35" s="120"/>
      <c r="Z35" s="120"/>
      <c r="AA35" s="120"/>
      <c r="AB35" s="120" t="s">
        <v>167</v>
      </c>
      <c r="AC35" s="120"/>
      <c r="AD35" s="120"/>
      <c r="AE35" s="120"/>
      <c r="AF35" s="120"/>
      <c r="AG35" s="120" t="s">
        <v>134</v>
      </c>
      <c r="AH35" s="120"/>
      <c r="AI35" s="120" t="s">
        <v>133</v>
      </c>
      <c r="AJ35" s="120"/>
      <c r="AK35" s="120" t="s">
        <v>462</v>
      </c>
      <c r="AL35" s="120"/>
      <c r="AM35" s="120"/>
      <c r="AN35" s="120"/>
      <c r="AO35" s="120"/>
      <c r="AP35" s="120"/>
      <c r="AQ35" s="120" t="s">
        <v>463</v>
      </c>
      <c r="AR35" s="120"/>
      <c r="AS35" s="120"/>
      <c r="AT35" s="145" t="s">
        <v>430</v>
      </c>
      <c r="AU35" s="146"/>
      <c r="AV35" s="146"/>
      <c r="AW35" s="146"/>
      <c r="AX35" s="146"/>
      <c r="AY35" s="147"/>
      <c r="AZ35" s="280"/>
      <c r="BA35" s="293"/>
      <c r="BB35" s="279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</row>
    <row r="36" spans="1:68" ht="12.75">
      <c r="A36" s="144"/>
      <c r="B36" s="144" t="s">
        <v>222</v>
      </c>
      <c r="C36" s="169"/>
      <c r="D36" s="228"/>
      <c r="E36" s="228"/>
      <c r="F36" s="164"/>
      <c r="G36" s="227"/>
      <c r="H36" s="169"/>
      <c r="I36" s="164"/>
      <c r="J36" s="160"/>
      <c r="K36" s="239"/>
      <c r="L36" s="181"/>
      <c r="M36" s="181"/>
      <c r="N36" s="267" t="s">
        <v>281</v>
      </c>
      <c r="O36" s="188"/>
      <c r="P36" s="188"/>
      <c r="Q36" s="160"/>
      <c r="R36" s="190"/>
      <c r="S36" s="120"/>
      <c r="T36" s="120"/>
      <c r="U36" s="120"/>
      <c r="V36" s="120"/>
      <c r="W36" s="120"/>
      <c r="X36" s="120"/>
      <c r="Y36" s="120"/>
      <c r="Z36" s="120"/>
      <c r="AA36" s="120"/>
      <c r="AB36" s="120" t="s">
        <v>188</v>
      </c>
      <c r="AC36" s="120"/>
      <c r="AD36" s="120"/>
      <c r="AE36" s="120"/>
      <c r="AF36" s="120"/>
      <c r="AG36" s="120" t="s">
        <v>150</v>
      </c>
      <c r="AH36" s="120"/>
      <c r="AI36" s="120"/>
      <c r="AJ36" s="120"/>
      <c r="AK36" s="120"/>
      <c r="AL36" s="120"/>
      <c r="AM36" s="120"/>
      <c r="AN36" s="120"/>
      <c r="AO36" s="120"/>
      <c r="AP36" s="120"/>
      <c r="AQ36" s="120" t="s">
        <v>150</v>
      </c>
      <c r="AR36" s="120"/>
      <c r="AS36" s="120"/>
      <c r="AT36" s="145" t="s">
        <v>430</v>
      </c>
      <c r="AU36" s="146"/>
      <c r="AV36" s="146"/>
      <c r="AW36" s="146"/>
      <c r="AX36" s="146"/>
      <c r="AY36" s="147"/>
      <c r="AZ36" s="280"/>
      <c r="BA36" s="293"/>
      <c r="BB36" s="279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</row>
    <row r="37" spans="1:68" ht="12.75">
      <c r="A37" s="143" t="s">
        <v>229</v>
      </c>
      <c r="B37" s="143" t="s">
        <v>240</v>
      </c>
      <c r="C37" s="197">
        <v>623125205</v>
      </c>
      <c r="D37" s="325">
        <v>4419.4429</v>
      </c>
      <c r="E37" s="325">
        <v>4512.0821</v>
      </c>
      <c r="F37" s="175">
        <v>1800</v>
      </c>
      <c r="G37" s="326">
        <f t="shared" si="1"/>
        <v>92.63919999999962</v>
      </c>
      <c r="H37" s="171"/>
      <c r="I37" s="175">
        <f>ROUND(G37*F37,0)</f>
        <v>166751</v>
      </c>
      <c r="J37" s="120"/>
      <c r="K37" s="160"/>
      <c r="L37" s="160"/>
      <c r="M37" s="160"/>
      <c r="N37" s="160"/>
      <c r="O37" s="160"/>
      <c r="P37" s="190"/>
      <c r="Q37" s="236"/>
      <c r="R37" s="237"/>
      <c r="S37" s="120" t="s">
        <v>160</v>
      </c>
      <c r="T37" s="120"/>
      <c r="U37" s="120"/>
      <c r="V37" s="120"/>
      <c r="W37" s="120"/>
      <c r="X37" s="120" t="s">
        <v>450</v>
      </c>
      <c r="Y37" s="120"/>
      <c r="Z37" s="120" t="s">
        <v>137</v>
      </c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46" t="s">
        <v>323</v>
      </c>
      <c r="AU37" s="146"/>
      <c r="AV37" s="146"/>
      <c r="AW37" s="146"/>
      <c r="AX37" s="146"/>
      <c r="AY37" s="147"/>
      <c r="AZ37" s="280"/>
      <c r="BA37" s="287"/>
      <c r="BB37" s="279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</row>
    <row r="38" spans="1:68" ht="12.75">
      <c r="A38" s="144"/>
      <c r="B38" s="144" t="s">
        <v>222</v>
      </c>
      <c r="C38" s="169"/>
      <c r="D38" s="228"/>
      <c r="E38" s="228"/>
      <c r="F38" s="164"/>
      <c r="G38" s="227"/>
      <c r="H38" s="169"/>
      <c r="I38" s="164"/>
      <c r="J38" s="120"/>
      <c r="K38" s="160"/>
      <c r="L38" s="160"/>
      <c r="M38" s="160"/>
      <c r="N38" s="160"/>
      <c r="O38" s="160"/>
      <c r="P38" s="190"/>
      <c r="Q38" s="236"/>
      <c r="R38" s="237"/>
      <c r="S38" s="120"/>
      <c r="T38" s="120"/>
      <c r="U38" s="120"/>
      <c r="V38" s="120"/>
      <c r="W38" s="120"/>
      <c r="X38" s="120" t="s">
        <v>150</v>
      </c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45" t="s">
        <v>430</v>
      </c>
      <c r="AU38" s="146"/>
      <c r="AV38" s="146" t="s">
        <v>96</v>
      </c>
      <c r="AW38" s="146"/>
      <c r="AX38" s="146"/>
      <c r="AY38" s="147"/>
      <c r="AZ38" s="280"/>
      <c r="BA38" s="293"/>
      <c r="BB38" s="279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</row>
    <row r="39" spans="1:68" ht="12.75">
      <c r="A39" s="143" t="s">
        <v>230</v>
      </c>
      <c r="B39" s="143" t="s">
        <v>241</v>
      </c>
      <c r="C39" s="197">
        <v>623123704</v>
      </c>
      <c r="D39" s="325">
        <v>6627.3768</v>
      </c>
      <c r="E39" s="325">
        <v>6950.2595</v>
      </c>
      <c r="F39" s="175">
        <v>1800</v>
      </c>
      <c r="G39" s="326">
        <f t="shared" si="1"/>
        <v>322.8827000000001</v>
      </c>
      <c r="H39" s="171"/>
      <c r="I39" s="175">
        <f>ROUND(G39*F39,0)</f>
        <v>581189</v>
      </c>
      <c r="J39" s="120"/>
      <c r="K39" s="160"/>
      <c r="L39" s="160"/>
      <c r="M39" s="160"/>
      <c r="N39" s="160"/>
      <c r="O39" s="160"/>
      <c r="P39" s="190"/>
      <c r="Q39" s="236"/>
      <c r="R39" s="237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45" t="s">
        <v>431</v>
      </c>
      <c r="AU39" s="146"/>
      <c r="AV39" s="146" t="s">
        <v>416</v>
      </c>
      <c r="AW39" s="146"/>
      <c r="AX39" s="146"/>
      <c r="AY39" s="147"/>
      <c r="AZ39" s="280"/>
      <c r="BA39" s="293"/>
      <c r="BB39" s="279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</row>
    <row r="40" spans="1:68" ht="12.75">
      <c r="A40" s="144"/>
      <c r="B40" s="144" t="s">
        <v>222</v>
      </c>
      <c r="C40" s="169"/>
      <c r="D40" s="228"/>
      <c r="E40" s="228"/>
      <c r="F40" s="164"/>
      <c r="G40" s="227"/>
      <c r="H40" s="169"/>
      <c r="I40" s="164"/>
      <c r="J40" s="120"/>
      <c r="K40" s="160"/>
      <c r="L40" s="160"/>
      <c r="M40" s="160"/>
      <c r="N40" s="160"/>
      <c r="O40" s="160"/>
      <c r="P40" s="190"/>
      <c r="Q40" s="236"/>
      <c r="R40" s="237"/>
      <c r="S40" s="239"/>
      <c r="T40" s="268"/>
      <c r="U40" s="160"/>
      <c r="V40" s="160"/>
      <c r="W40" s="188"/>
      <c r="X40" s="188"/>
      <c r="Y40" s="269"/>
      <c r="Z40" s="160"/>
      <c r="AA40" s="19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45"/>
      <c r="AU40" s="146"/>
      <c r="AV40" s="146"/>
      <c r="AW40" s="146"/>
      <c r="AX40" s="146"/>
      <c r="AY40" s="147"/>
      <c r="AZ40" s="280"/>
      <c r="BA40" s="293"/>
      <c r="BB40" s="279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</row>
    <row r="41" spans="1:68" ht="12.75">
      <c r="A41" s="143" t="s">
        <v>231</v>
      </c>
      <c r="B41" s="143" t="s">
        <v>242</v>
      </c>
      <c r="C41" s="197">
        <v>623125794</v>
      </c>
      <c r="D41" s="325">
        <v>74.2749</v>
      </c>
      <c r="E41" s="325">
        <v>74.8873</v>
      </c>
      <c r="F41" s="175">
        <v>1800</v>
      </c>
      <c r="G41" s="326">
        <f t="shared" si="1"/>
        <v>0.6123999999999938</v>
      </c>
      <c r="H41" s="171"/>
      <c r="I41" s="175">
        <f>ROUND(G41*F41,0)</f>
        <v>1102</v>
      </c>
      <c r="J41" s="120"/>
      <c r="K41" s="160"/>
      <c r="L41" s="160"/>
      <c r="M41" s="160"/>
      <c r="N41" s="160"/>
      <c r="O41" s="160"/>
      <c r="P41" s="190"/>
      <c r="Q41" s="236"/>
      <c r="R41" s="237"/>
      <c r="S41" s="239"/>
      <c r="T41" s="268"/>
      <c r="U41" s="160"/>
      <c r="V41" s="160"/>
      <c r="W41" s="188"/>
      <c r="X41" s="188"/>
      <c r="Y41" s="269"/>
      <c r="Z41" s="160"/>
      <c r="AA41" s="19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45"/>
      <c r="AU41" s="146"/>
      <c r="AV41" s="146"/>
      <c r="AW41" s="146"/>
      <c r="AX41" s="146"/>
      <c r="AY41" s="147"/>
      <c r="AZ41" s="280"/>
      <c r="BA41" s="293"/>
      <c r="BB41" s="279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</row>
    <row r="42" spans="1:68" ht="12.75">
      <c r="A42" s="144"/>
      <c r="B42" s="144" t="s">
        <v>222</v>
      </c>
      <c r="C42" s="169"/>
      <c r="D42" s="228"/>
      <c r="E42" s="228"/>
      <c r="F42" s="164"/>
      <c r="G42" s="227"/>
      <c r="H42" s="169"/>
      <c r="I42" s="164"/>
      <c r="J42" s="120"/>
      <c r="K42" s="160"/>
      <c r="L42" s="160"/>
      <c r="M42" s="160"/>
      <c r="N42" s="160"/>
      <c r="O42" s="160"/>
      <c r="P42" s="190"/>
      <c r="Q42" s="236"/>
      <c r="R42" s="237"/>
      <c r="S42" s="268"/>
      <c r="T42" s="239"/>
      <c r="U42" s="160"/>
      <c r="V42" s="160"/>
      <c r="W42" s="160"/>
      <c r="X42" s="160"/>
      <c r="Y42" s="160"/>
      <c r="Z42" s="160"/>
      <c r="AA42" s="19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45"/>
      <c r="AU42" s="146"/>
      <c r="AV42" s="146"/>
      <c r="AW42" s="146"/>
      <c r="AX42" s="146"/>
      <c r="AY42" s="147"/>
      <c r="AZ42" s="280"/>
      <c r="BA42" s="287"/>
      <c r="BB42" s="279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</row>
    <row r="43" spans="1:68" ht="12.75">
      <c r="A43" s="143" t="s">
        <v>232</v>
      </c>
      <c r="B43" s="143" t="s">
        <v>243</v>
      </c>
      <c r="C43" s="197">
        <v>623125736</v>
      </c>
      <c r="D43" s="325">
        <v>3777.9777</v>
      </c>
      <c r="E43" s="325">
        <v>3900.7786</v>
      </c>
      <c r="F43" s="175">
        <v>1200</v>
      </c>
      <c r="G43" s="326">
        <f t="shared" si="1"/>
        <v>122.80090000000018</v>
      </c>
      <c r="H43" s="171"/>
      <c r="I43" s="175">
        <f>ROUND(G43*F43,0)</f>
        <v>147361</v>
      </c>
      <c r="J43" s="120"/>
      <c r="K43" s="160"/>
      <c r="L43" s="160"/>
      <c r="M43" s="160"/>
      <c r="N43" s="160"/>
      <c r="O43" s="160"/>
      <c r="P43" s="190"/>
      <c r="Q43" s="236"/>
      <c r="R43" s="237"/>
      <c r="S43" s="239"/>
      <c r="T43" s="268"/>
      <c r="U43" s="160"/>
      <c r="V43" s="160"/>
      <c r="W43" s="188"/>
      <c r="X43" s="188"/>
      <c r="Y43" s="269"/>
      <c r="Z43" s="160"/>
      <c r="AA43" s="19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45" t="s">
        <v>323</v>
      </c>
      <c r="AU43" s="146"/>
      <c r="AV43" s="146"/>
      <c r="AW43" s="146"/>
      <c r="AX43" s="146"/>
      <c r="AY43" s="147"/>
      <c r="AZ43" s="280"/>
      <c r="BA43" s="293"/>
      <c r="BB43" s="279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</row>
    <row r="44" spans="1:68" ht="12.75">
      <c r="A44" s="144"/>
      <c r="B44" s="144" t="s">
        <v>222</v>
      </c>
      <c r="C44" s="168"/>
      <c r="D44" s="228"/>
      <c r="E44" s="228"/>
      <c r="F44" s="164"/>
      <c r="G44" s="227"/>
      <c r="H44" s="169"/>
      <c r="I44" s="164"/>
      <c r="J44" s="160"/>
      <c r="K44" s="160"/>
      <c r="L44" s="160"/>
      <c r="M44" s="160"/>
      <c r="N44" s="160"/>
      <c r="O44" s="160"/>
      <c r="P44" s="190"/>
      <c r="Q44" s="236"/>
      <c r="R44" s="237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45"/>
      <c r="AU44" s="146"/>
      <c r="AV44" s="146"/>
      <c r="AW44" s="146"/>
      <c r="AX44" s="146"/>
      <c r="AY44" s="147"/>
      <c r="AZ44" s="280"/>
      <c r="BA44" s="287"/>
      <c r="BB44" s="279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</row>
    <row r="45" spans="1:68" ht="12.75">
      <c r="A45" s="143" t="s">
        <v>233</v>
      </c>
      <c r="B45" s="145" t="s">
        <v>234</v>
      </c>
      <c r="C45" s="197">
        <v>1110171156</v>
      </c>
      <c r="D45" s="325">
        <v>9813.8752</v>
      </c>
      <c r="E45" s="325">
        <v>10619.5992</v>
      </c>
      <c r="F45" s="175">
        <v>40</v>
      </c>
      <c r="G45" s="326">
        <f>E45-D45</f>
        <v>805.7240000000002</v>
      </c>
      <c r="H45" s="171"/>
      <c r="I45" s="175">
        <f>ROUND(G45*F45,0)</f>
        <v>32229</v>
      </c>
      <c r="J45" s="160"/>
      <c r="K45" s="160"/>
      <c r="L45" s="160"/>
      <c r="M45" s="160"/>
      <c r="N45" s="160"/>
      <c r="O45" s="160"/>
      <c r="P45" s="190"/>
      <c r="Q45" s="238"/>
      <c r="R45" s="237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45" t="s">
        <v>3</v>
      </c>
      <c r="AU45" s="146"/>
      <c r="AV45" s="146"/>
      <c r="AW45" s="146"/>
      <c r="AX45" s="146"/>
      <c r="AY45" s="147"/>
      <c r="AZ45" s="280"/>
      <c r="BA45" s="287"/>
      <c r="BB45" s="279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</row>
    <row r="46" spans="1:68" ht="12.75">
      <c r="A46" s="144"/>
      <c r="B46" s="103" t="s">
        <v>222</v>
      </c>
      <c r="C46" s="198"/>
      <c r="D46" s="378"/>
      <c r="E46" s="325"/>
      <c r="F46" s="175"/>
      <c r="G46" s="326"/>
      <c r="H46" s="171"/>
      <c r="I46" s="175"/>
      <c r="J46" s="160"/>
      <c r="K46" s="160"/>
      <c r="L46" s="160"/>
      <c r="M46" s="160"/>
      <c r="N46" s="160"/>
      <c r="O46" s="160"/>
      <c r="P46" s="190"/>
      <c r="Q46" s="236"/>
      <c r="R46" s="237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45"/>
      <c r="AU46" s="146"/>
      <c r="AV46" s="146" t="s">
        <v>330</v>
      </c>
      <c r="AW46" s="146"/>
      <c r="AX46" s="146"/>
      <c r="AY46" s="147"/>
      <c r="AZ46" s="280"/>
      <c r="BA46" s="298"/>
      <c r="BB46" s="279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68" ht="12.75">
      <c r="A47" s="201"/>
      <c r="B47" s="150"/>
      <c r="C47" s="191"/>
      <c r="D47" s="199"/>
      <c r="E47" s="200"/>
      <c r="F47" s="200"/>
      <c r="G47" s="215" t="s">
        <v>244</v>
      </c>
      <c r="H47" s="151"/>
      <c r="I47" s="235">
        <f>ROUND((SUM(I25:I46)+I20),0)</f>
        <v>6308278</v>
      </c>
      <c r="J47" s="160"/>
      <c r="K47" s="160"/>
      <c r="L47" s="160"/>
      <c r="M47" s="160"/>
      <c r="N47" s="160"/>
      <c r="O47" s="160"/>
      <c r="P47" s="190"/>
      <c r="Q47" s="238"/>
      <c r="R47" s="237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45"/>
      <c r="AU47" s="146"/>
      <c r="AV47" s="146"/>
      <c r="AW47" s="146"/>
      <c r="AX47" s="146"/>
      <c r="AY47" s="147"/>
      <c r="AZ47" s="280"/>
      <c r="BA47" s="287"/>
      <c r="BB47" s="279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68" ht="12.75">
      <c r="A48" s="143" t="s">
        <v>247</v>
      </c>
      <c r="B48" s="145" t="s">
        <v>245</v>
      </c>
      <c r="C48" s="202"/>
      <c r="D48" s="202"/>
      <c r="E48" s="203"/>
      <c r="F48" s="203"/>
      <c r="G48" s="204"/>
      <c r="H48" s="146"/>
      <c r="I48" s="205"/>
      <c r="J48" s="160"/>
      <c r="K48" s="160"/>
      <c r="L48" s="160"/>
      <c r="M48" s="160"/>
      <c r="N48" s="160"/>
      <c r="O48" s="160"/>
      <c r="P48" s="190"/>
      <c r="Q48" s="236"/>
      <c r="R48" s="237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45"/>
      <c r="AU48" s="146"/>
      <c r="AV48" s="146"/>
      <c r="AW48" s="146"/>
      <c r="AX48" s="146"/>
      <c r="AY48" s="147"/>
      <c r="AZ48" s="280"/>
      <c r="BA48" s="298"/>
      <c r="BB48" s="279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ht="12.75">
      <c r="A49" s="173"/>
      <c r="B49" s="159" t="s">
        <v>246</v>
      </c>
      <c r="C49" s="206"/>
      <c r="D49" s="191"/>
      <c r="E49" s="207"/>
      <c r="F49" s="207"/>
      <c r="G49" s="208"/>
      <c r="H49" s="148"/>
      <c r="I49" s="209"/>
      <c r="J49" s="160"/>
      <c r="K49" s="160"/>
      <c r="L49" s="239"/>
      <c r="M49" s="160"/>
      <c r="N49" s="160"/>
      <c r="O49" s="160"/>
      <c r="P49" s="190"/>
      <c r="Q49" s="236"/>
      <c r="R49" s="237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45"/>
      <c r="AU49" s="146"/>
      <c r="AV49" s="146" t="s">
        <v>330</v>
      </c>
      <c r="AW49" s="146"/>
      <c r="AX49" s="146"/>
      <c r="AY49" s="147"/>
      <c r="AZ49" s="280"/>
      <c r="BA49" s="293"/>
      <c r="BB49" s="279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ht="12.75">
      <c r="A50" s="145" t="s">
        <v>248</v>
      </c>
      <c r="B50" s="143" t="s">
        <v>484</v>
      </c>
      <c r="C50" s="304"/>
      <c r="D50" s="211"/>
      <c r="E50" s="211"/>
      <c r="F50" s="155"/>
      <c r="G50" s="212"/>
      <c r="H50" s="152"/>
      <c r="I50" s="155"/>
      <c r="J50" s="160"/>
      <c r="K50" s="160"/>
      <c r="L50" s="160"/>
      <c r="M50" s="160"/>
      <c r="N50" s="160"/>
      <c r="O50" s="160"/>
      <c r="P50" s="160"/>
      <c r="Q50" s="160"/>
      <c r="R50" s="16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50"/>
      <c r="AU50" s="150"/>
      <c r="AV50" s="270" t="s">
        <v>534</v>
      </c>
      <c r="AW50" s="150"/>
      <c r="AX50" s="150"/>
      <c r="AY50" s="151"/>
      <c r="AZ50" s="280"/>
      <c r="BA50" s="293"/>
      <c r="BB50" s="279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ht="12.75">
      <c r="A51" s="159"/>
      <c r="B51" s="173"/>
      <c r="C51" s="305">
        <v>611127627</v>
      </c>
      <c r="D51" s="302">
        <v>5675.6408</v>
      </c>
      <c r="E51" s="302">
        <v>5721.0592</v>
      </c>
      <c r="F51" s="155">
        <v>40</v>
      </c>
      <c r="G51" s="252">
        <f>E51-D51</f>
        <v>45.418399999999565</v>
      </c>
      <c r="H51" s="155"/>
      <c r="I51" s="155">
        <f>ROUND(F51*G51+H51,0)</f>
        <v>1817</v>
      </c>
      <c r="J51" s="160"/>
      <c r="K51" s="160"/>
      <c r="L51" s="160"/>
      <c r="M51" s="160"/>
      <c r="N51" s="160"/>
      <c r="O51" s="160"/>
      <c r="P51" s="160"/>
      <c r="Q51" s="160"/>
      <c r="R51" s="16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60"/>
      <c r="AU51" s="120"/>
      <c r="AV51" s="120"/>
      <c r="AW51" s="120"/>
      <c r="AX51" s="120"/>
      <c r="AY51" s="120"/>
      <c r="AZ51" s="120"/>
      <c r="BA51" s="120"/>
      <c r="BB51" s="120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ht="12.75">
      <c r="A52" s="159"/>
      <c r="B52" s="144" t="s">
        <v>467</v>
      </c>
      <c r="C52" s="305"/>
      <c r="D52" s="306"/>
      <c r="E52" s="306"/>
      <c r="F52" s="155"/>
      <c r="G52" s="212"/>
      <c r="H52" s="155"/>
      <c r="I52" s="155"/>
      <c r="J52" s="160"/>
      <c r="K52" s="160"/>
      <c r="L52" s="160"/>
      <c r="M52" s="160"/>
      <c r="N52" s="160"/>
      <c r="O52" s="160"/>
      <c r="P52" s="160"/>
      <c r="Q52" s="160"/>
      <c r="R52" s="16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60"/>
      <c r="AU52" s="120"/>
      <c r="AV52" s="120"/>
      <c r="AW52" s="120"/>
      <c r="AX52" s="120"/>
      <c r="AY52" s="120"/>
      <c r="AZ52" s="120"/>
      <c r="BA52" s="120"/>
      <c r="BB52" s="120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ht="12.75">
      <c r="A53" s="143" t="s">
        <v>251</v>
      </c>
      <c r="B53" s="161"/>
      <c r="C53" s="213">
        <v>810120245</v>
      </c>
      <c r="D53" s="302">
        <v>3641.4434</v>
      </c>
      <c r="E53" s="302">
        <v>3647.4312</v>
      </c>
      <c r="F53" s="155">
        <v>3600</v>
      </c>
      <c r="G53" s="252">
        <f>E53-D53</f>
        <v>5.987799999999879</v>
      </c>
      <c r="H53" s="155"/>
      <c r="I53" s="155">
        <f>ROUND(F53*G53+H53,0)</f>
        <v>21556</v>
      </c>
      <c r="J53" s="160"/>
      <c r="K53" s="160"/>
      <c r="L53" s="160"/>
      <c r="M53" s="160"/>
      <c r="N53" s="160"/>
      <c r="O53" s="160"/>
      <c r="P53" s="160"/>
      <c r="Q53" s="160"/>
      <c r="R53" s="16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60" t="s">
        <v>561</v>
      </c>
      <c r="AU53" s="120"/>
      <c r="AV53" s="120"/>
      <c r="AW53" s="120"/>
      <c r="AX53" s="120"/>
      <c r="AY53" s="120"/>
      <c r="AZ53" s="120"/>
      <c r="BA53" s="120"/>
      <c r="BB53" s="120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ht="12.75">
      <c r="A54" s="173"/>
      <c r="B54" s="161" t="s">
        <v>494</v>
      </c>
      <c r="C54" s="213"/>
      <c r="D54" s="302"/>
      <c r="E54" s="302"/>
      <c r="F54" s="155"/>
      <c r="G54" s="252"/>
      <c r="H54" s="96"/>
      <c r="I54" s="155"/>
      <c r="J54" s="160"/>
      <c r="K54" s="160"/>
      <c r="L54" s="160"/>
      <c r="M54" s="160"/>
      <c r="N54" s="160"/>
      <c r="O54" s="160"/>
      <c r="P54" s="160"/>
      <c r="Q54" s="160"/>
      <c r="R54" s="16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60"/>
      <c r="AU54" s="120"/>
      <c r="AV54" s="120"/>
      <c r="AW54" s="120"/>
      <c r="AX54" s="120"/>
      <c r="AY54" s="120"/>
      <c r="AZ54" s="120"/>
      <c r="BA54" s="120"/>
      <c r="BB54" s="120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ht="12.75">
      <c r="A55" s="173"/>
      <c r="B55" s="161"/>
      <c r="C55" s="210">
        <v>4050284</v>
      </c>
      <c r="D55" s="230">
        <v>4031.3839</v>
      </c>
      <c r="E55" s="230">
        <v>4073.2541</v>
      </c>
      <c r="F55" s="155">
        <v>3600</v>
      </c>
      <c r="G55" s="253">
        <f>E55-D55</f>
        <v>41.870200000000295</v>
      </c>
      <c r="H55" s="96"/>
      <c r="I55" s="155">
        <f>ROUND(F55*G55+H55,0)</f>
        <v>150733</v>
      </c>
      <c r="J55" s="160"/>
      <c r="K55" s="160"/>
      <c r="L55" s="160"/>
      <c r="M55" s="160"/>
      <c r="N55" s="160"/>
      <c r="O55" s="160"/>
      <c r="P55" s="160"/>
      <c r="Q55" s="160"/>
      <c r="R55" s="16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60"/>
      <c r="AU55" s="120"/>
      <c r="AV55" s="120"/>
      <c r="AW55" s="120"/>
      <c r="AX55" s="120"/>
      <c r="AY55" s="120"/>
      <c r="AZ55" s="120"/>
      <c r="BA55" s="120"/>
      <c r="BB55" s="120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ht="12.75">
      <c r="A56" s="144"/>
      <c r="B56" s="149"/>
      <c r="C56" s="210"/>
      <c r="D56" s="230"/>
      <c r="E56" s="230"/>
      <c r="F56" s="155"/>
      <c r="G56" s="253"/>
      <c r="H56" s="96"/>
      <c r="I56" s="155"/>
      <c r="J56" s="160"/>
      <c r="K56" s="160"/>
      <c r="L56" s="160"/>
      <c r="M56" s="160"/>
      <c r="N56" s="160"/>
      <c r="O56" s="160"/>
      <c r="P56" s="160"/>
      <c r="Q56" s="160"/>
      <c r="R56" s="24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60"/>
      <c r="AU56" s="120"/>
      <c r="AV56" s="120"/>
      <c r="AW56" s="120"/>
      <c r="AX56" s="120"/>
      <c r="AY56" s="120"/>
      <c r="AZ56" s="120"/>
      <c r="BA56" s="120"/>
      <c r="BB56" s="120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ht="12.75">
      <c r="A57" s="173" t="s">
        <v>252</v>
      </c>
      <c r="B57" s="143" t="s">
        <v>218</v>
      </c>
      <c r="C57" s="152"/>
      <c r="D57" s="211"/>
      <c r="E57" s="211"/>
      <c r="F57" s="155"/>
      <c r="G57" s="212"/>
      <c r="H57" s="96"/>
      <c r="I57" s="155"/>
      <c r="J57" s="160"/>
      <c r="K57" s="120"/>
      <c r="L57" s="120"/>
      <c r="M57" s="120"/>
      <c r="N57" s="120"/>
      <c r="O57" s="120"/>
      <c r="P57" s="120"/>
      <c r="Q57" s="120"/>
      <c r="R57" s="241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60"/>
      <c r="AU57" s="120"/>
      <c r="AV57" s="120"/>
      <c r="AW57" s="120"/>
      <c r="AX57" s="120"/>
      <c r="AY57" s="120"/>
      <c r="AZ57" s="120"/>
      <c r="BA57" s="120"/>
      <c r="BB57" s="271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ht="12.75">
      <c r="A58" s="307"/>
      <c r="B58" s="173" t="s">
        <v>217</v>
      </c>
      <c r="C58" s="305">
        <v>611127492</v>
      </c>
      <c r="D58" s="302">
        <v>19039.1548</v>
      </c>
      <c r="E58" s="302">
        <v>19360.884</v>
      </c>
      <c r="F58" s="155">
        <v>20</v>
      </c>
      <c r="G58" s="252">
        <f>E58-D58</f>
        <v>321.72919999999795</v>
      </c>
      <c r="H58" s="155"/>
      <c r="I58" s="155">
        <f>ROUND(F58*G58+H58,0)</f>
        <v>6435</v>
      </c>
      <c r="J58" s="16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60"/>
      <c r="AU58" s="120"/>
      <c r="AV58" s="120" t="s">
        <v>144</v>
      </c>
      <c r="AW58" s="120"/>
      <c r="AX58" s="120"/>
      <c r="AY58" s="120"/>
      <c r="AZ58" s="120"/>
      <c r="BA58" s="120"/>
      <c r="BB58" s="272">
        <f>BA9</f>
        <v>3.3884564688708894</v>
      </c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ht="12.75">
      <c r="A59" s="145" t="s">
        <v>253</v>
      </c>
      <c r="B59" s="143" t="s">
        <v>485</v>
      </c>
      <c r="C59" s="309"/>
      <c r="D59" s="211"/>
      <c r="E59" s="211"/>
      <c r="F59" s="155"/>
      <c r="G59" s="212"/>
      <c r="H59" s="96"/>
      <c r="I59" s="155"/>
      <c r="J59" s="160"/>
      <c r="K59" s="160"/>
      <c r="L59" s="160"/>
      <c r="M59" s="160"/>
      <c r="N59" s="160"/>
      <c r="O59" s="160"/>
      <c r="P59" s="160"/>
      <c r="Q59" s="160"/>
      <c r="R59" s="16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60"/>
      <c r="AU59" s="120"/>
      <c r="AV59" s="120"/>
      <c r="AW59" s="120"/>
      <c r="AX59" s="120"/>
      <c r="AY59" s="120"/>
      <c r="AZ59" s="120"/>
      <c r="BA59" s="120"/>
      <c r="BB59" s="120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ht="12.75">
      <c r="A60" s="308"/>
      <c r="B60" s="168" t="s">
        <v>546</v>
      </c>
      <c r="C60" s="305">
        <v>611127702</v>
      </c>
      <c r="D60" s="302">
        <v>30700.0916</v>
      </c>
      <c r="E60" s="302">
        <v>30905.7016</v>
      </c>
      <c r="F60" s="155">
        <v>60</v>
      </c>
      <c r="G60" s="252">
        <f>E60-D60</f>
        <v>205.61000000000058</v>
      </c>
      <c r="H60" s="96"/>
      <c r="I60" s="155">
        <f>ROUND(F60*G60+H60,0)</f>
        <v>12337</v>
      </c>
      <c r="J60" s="160"/>
      <c r="K60" s="160"/>
      <c r="L60" s="160"/>
      <c r="M60" s="160"/>
      <c r="N60" s="160"/>
      <c r="O60" s="160"/>
      <c r="P60" s="160"/>
      <c r="Q60" s="160"/>
      <c r="R60" s="16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60"/>
      <c r="AU60" s="160"/>
      <c r="AV60" s="160"/>
      <c r="AW60" s="160"/>
      <c r="AX60" s="160"/>
      <c r="AY60" s="160"/>
      <c r="AZ60" s="160"/>
      <c r="BA60" s="160"/>
      <c r="BB60" s="160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13.5">
      <c r="A61" s="159"/>
      <c r="B61" s="168" t="s">
        <v>547</v>
      </c>
      <c r="C61" s="305">
        <v>611127555</v>
      </c>
      <c r="D61" s="302">
        <v>6426.9304</v>
      </c>
      <c r="E61" s="302">
        <v>6954.058</v>
      </c>
      <c r="F61" s="155">
        <v>60</v>
      </c>
      <c r="G61" s="252">
        <f>E61-D61</f>
        <v>527.1275999999998</v>
      </c>
      <c r="H61" s="96"/>
      <c r="I61" s="155">
        <f>ROUND(F61*G61+H61,0)</f>
        <v>31628</v>
      </c>
      <c r="J61" s="160"/>
      <c r="K61" s="160"/>
      <c r="L61" s="160"/>
      <c r="M61" s="160"/>
      <c r="N61" s="160"/>
      <c r="O61" s="242"/>
      <c r="P61" s="243"/>
      <c r="Q61" s="160"/>
      <c r="R61" s="16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60"/>
      <c r="AU61" s="160"/>
      <c r="AV61" s="160"/>
      <c r="AW61" s="160"/>
      <c r="AX61" s="160"/>
      <c r="AY61" s="242"/>
      <c r="AZ61" s="243"/>
      <c r="BA61" s="160"/>
      <c r="BB61" s="160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</row>
    <row r="62" spans="1:68" ht="12.75">
      <c r="A62" s="145" t="s">
        <v>258</v>
      </c>
      <c r="B62" s="143" t="s">
        <v>486</v>
      </c>
      <c r="C62" s="310"/>
      <c r="D62" s="232"/>
      <c r="E62" s="232"/>
      <c r="F62" s="155"/>
      <c r="G62" s="212"/>
      <c r="H62" s="96"/>
      <c r="I62" s="155"/>
      <c r="J62" s="160"/>
      <c r="K62" s="160"/>
      <c r="L62" s="160"/>
      <c r="M62" s="160"/>
      <c r="N62" s="160"/>
      <c r="O62" s="160"/>
      <c r="P62" s="160"/>
      <c r="Q62" s="160"/>
      <c r="R62" s="16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60"/>
      <c r="AU62" s="160"/>
      <c r="AV62" s="160"/>
      <c r="AW62" s="160"/>
      <c r="AX62" s="160"/>
      <c r="AY62" s="160"/>
      <c r="AZ62" s="160"/>
      <c r="BA62" s="160"/>
      <c r="BB62" s="160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</row>
    <row r="63" spans="1:68" ht="12.75">
      <c r="A63" s="308"/>
      <c r="B63" s="173"/>
      <c r="C63" s="305">
        <v>1110171163</v>
      </c>
      <c r="D63" s="302">
        <v>479.3096</v>
      </c>
      <c r="E63" s="302">
        <v>497.5988</v>
      </c>
      <c r="F63" s="155">
        <v>60</v>
      </c>
      <c r="G63" s="252">
        <f>E63-D63</f>
        <v>18.289199999999994</v>
      </c>
      <c r="H63" s="96"/>
      <c r="I63" s="155">
        <f>ROUND(F63*G63+H63,0)</f>
        <v>1097</v>
      </c>
      <c r="J63" s="243"/>
      <c r="K63" s="160"/>
      <c r="L63" s="160"/>
      <c r="M63" s="160"/>
      <c r="N63" s="160"/>
      <c r="O63" s="160"/>
      <c r="P63" s="189"/>
      <c r="Q63" s="160"/>
      <c r="R63" s="244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243"/>
      <c r="AU63" s="160"/>
      <c r="AV63" s="160"/>
      <c r="AW63" s="160"/>
      <c r="AX63" s="160"/>
      <c r="AY63" s="160"/>
      <c r="AZ63" s="189"/>
      <c r="BA63" s="160"/>
      <c r="BB63" s="24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</row>
    <row r="64" spans="1:68" ht="12.75">
      <c r="A64" s="159"/>
      <c r="B64" s="173"/>
      <c r="C64" s="305"/>
      <c r="D64" s="302"/>
      <c r="E64" s="302"/>
      <c r="F64" s="155"/>
      <c r="G64" s="252"/>
      <c r="H64" s="96"/>
      <c r="I64" s="155"/>
      <c r="J64" s="243"/>
      <c r="K64" s="160"/>
      <c r="L64" s="160"/>
      <c r="M64" s="160"/>
      <c r="N64" s="160"/>
      <c r="O64" s="160"/>
      <c r="P64" s="189"/>
      <c r="Q64" s="160"/>
      <c r="R64" s="244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243"/>
      <c r="AU64" s="160"/>
      <c r="AV64" s="160"/>
      <c r="AW64" s="160"/>
      <c r="AX64" s="160"/>
      <c r="AY64" s="160"/>
      <c r="AZ64" s="189"/>
      <c r="BA64" s="160"/>
      <c r="BB64" s="24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</row>
    <row r="65" spans="1:68" ht="12.75">
      <c r="A65" s="145" t="s">
        <v>260</v>
      </c>
      <c r="B65" s="143" t="s">
        <v>487</v>
      </c>
      <c r="C65" s="311"/>
      <c r="D65" s="232"/>
      <c r="E65" s="232"/>
      <c r="F65" s="155"/>
      <c r="G65" s="212"/>
      <c r="H65" s="96"/>
      <c r="I65" s="155"/>
      <c r="J65" s="243"/>
      <c r="K65" s="160"/>
      <c r="L65" s="160"/>
      <c r="M65" s="160"/>
      <c r="N65" s="160"/>
      <c r="O65" s="160"/>
      <c r="P65" s="189"/>
      <c r="Q65" s="160"/>
      <c r="R65" s="244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243"/>
      <c r="AU65" s="160"/>
      <c r="AV65" s="160"/>
      <c r="AW65" s="160"/>
      <c r="AX65" s="160"/>
      <c r="AY65" s="160"/>
      <c r="AZ65" s="189"/>
      <c r="BA65" s="160"/>
      <c r="BB65" s="24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</row>
    <row r="66" spans="1:68" ht="12.75">
      <c r="A66" s="159"/>
      <c r="B66" s="173"/>
      <c r="C66" s="305">
        <v>1110171170</v>
      </c>
      <c r="D66" s="302">
        <v>121.3356</v>
      </c>
      <c r="E66" s="302">
        <v>125.6192</v>
      </c>
      <c r="F66" s="155">
        <v>40</v>
      </c>
      <c r="G66" s="252">
        <f>E66-D66</f>
        <v>4.283600000000007</v>
      </c>
      <c r="H66" s="155"/>
      <c r="I66" s="155">
        <f>ROUND(F66*G66+H66,0)</f>
        <v>171</v>
      </c>
      <c r="J66" s="243"/>
      <c r="K66" s="160"/>
      <c r="L66" s="160"/>
      <c r="M66" s="160"/>
      <c r="N66" s="160"/>
      <c r="O66" s="160"/>
      <c r="P66" s="189"/>
      <c r="Q66" s="160"/>
      <c r="R66" s="244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243"/>
      <c r="AU66" s="160"/>
      <c r="AV66" s="160"/>
      <c r="AW66" s="160"/>
      <c r="AX66" s="160"/>
      <c r="AY66" s="160"/>
      <c r="AZ66" s="189"/>
      <c r="BA66" s="160"/>
      <c r="BB66" s="24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</row>
    <row r="67" spans="1:68" ht="12.75">
      <c r="A67" s="159"/>
      <c r="B67" s="173"/>
      <c r="C67" s="305"/>
      <c r="D67" s="302"/>
      <c r="E67" s="302"/>
      <c r="F67" s="155"/>
      <c r="G67" s="252"/>
      <c r="H67" s="155"/>
      <c r="I67" s="155"/>
      <c r="J67" s="16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60"/>
      <c r="AU67" s="160"/>
      <c r="AV67" s="160"/>
      <c r="AW67" s="160"/>
      <c r="AX67" s="160"/>
      <c r="AY67" s="160"/>
      <c r="AZ67" s="160"/>
      <c r="BA67" s="160"/>
      <c r="BB67" s="160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</row>
    <row r="68" spans="1:68" ht="12.75">
      <c r="A68" s="145" t="s">
        <v>261</v>
      </c>
      <c r="B68" s="143" t="s">
        <v>550</v>
      </c>
      <c r="C68" s="305">
        <v>611126342</v>
      </c>
      <c r="D68" s="302">
        <v>25782.5391</v>
      </c>
      <c r="E68" s="302">
        <v>25782.5391</v>
      </c>
      <c r="F68" s="155">
        <v>1800</v>
      </c>
      <c r="G68" s="252">
        <f>E68-D68</f>
        <v>0</v>
      </c>
      <c r="H68" s="155"/>
      <c r="I68" s="155">
        <f>ROUND(F68*G68+H68,0)</f>
        <v>0</v>
      </c>
      <c r="J68" s="160"/>
      <c r="K68" s="160"/>
      <c r="L68" s="160"/>
      <c r="M68" s="160"/>
      <c r="N68" s="160"/>
      <c r="O68" s="160"/>
      <c r="P68" s="160"/>
      <c r="Q68" s="160"/>
      <c r="R68" s="16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60"/>
      <c r="AU68" s="160"/>
      <c r="AV68" s="160"/>
      <c r="AW68" s="160"/>
      <c r="AX68" s="160"/>
      <c r="AY68" s="160"/>
      <c r="AZ68" s="160"/>
      <c r="BA68" s="160"/>
      <c r="BB68" s="160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</row>
    <row r="69" spans="1:68" ht="13.5">
      <c r="A69" s="159"/>
      <c r="B69" s="173" t="s">
        <v>551</v>
      </c>
      <c r="C69" s="305">
        <v>611126404</v>
      </c>
      <c r="D69" s="302">
        <v>521.6338</v>
      </c>
      <c r="E69" s="302">
        <v>532.6895</v>
      </c>
      <c r="F69" s="155">
        <v>1800</v>
      </c>
      <c r="G69" s="252">
        <f>E69-D69</f>
        <v>11.055700000000002</v>
      </c>
      <c r="H69" s="155"/>
      <c r="I69" s="155">
        <f>ROUND((F69*G69+H69),0)</f>
        <v>19900</v>
      </c>
      <c r="J69" s="160"/>
      <c r="K69" s="160"/>
      <c r="L69" s="160"/>
      <c r="M69" s="160"/>
      <c r="N69" s="160"/>
      <c r="O69" s="242"/>
      <c r="P69" s="243"/>
      <c r="Q69" s="160"/>
      <c r="R69" s="16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60"/>
      <c r="AU69" s="160"/>
      <c r="AV69" s="160"/>
      <c r="AW69" s="160"/>
      <c r="AX69" s="160"/>
      <c r="AY69" s="242"/>
      <c r="AZ69" s="243"/>
      <c r="BA69" s="160"/>
      <c r="BB69" s="160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</row>
    <row r="70" spans="1:68" ht="12.75">
      <c r="A70" s="103"/>
      <c r="B70" s="144" t="s">
        <v>509</v>
      </c>
      <c r="C70" s="305">
        <v>611126334</v>
      </c>
      <c r="D70" s="302">
        <v>2.3724</v>
      </c>
      <c r="E70" s="302">
        <v>2.3724</v>
      </c>
      <c r="F70" s="155">
        <v>1800</v>
      </c>
      <c r="G70" s="252">
        <f>E70-D70</f>
        <v>0</v>
      </c>
      <c r="H70" s="96"/>
      <c r="I70" s="155">
        <f>ROUND(F70*G70+H70,0)</f>
        <v>0</v>
      </c>
      <c r="J70" s="160"/>
      <c r="K70" s="160"/>
      <c r="L70" s="160"/>
      <c r="M70" s="160"/>
      <c r="N70" s="160"/>
      <c r="O70" s="160"/>
      <c r="P70" s="160"/>
      <c r="Q70" s="160"/>
      <c r="R70" s="16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60"/>
      <c r="AU70" s="160"/>
      <c r="AV70" s="160"/>
      <c r="AW70" s="160"/>
      <c r="AX70" s="160"/>
      <c r="AY70" s="160"/>
      <c r="AZ70" s="160"/>
      <c r="BA70" s="160"/>
      <c r="BB70" s="160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</row>
    <row r="71" spans="1:68" ht="12.75">
      <c r="A71" s="159" t="s">
        <v>477</v>
      </c>
      <c r="B71" s="173" t="s">
        <v>488</v>
      </c>
      <c r="C71" s="305">
        <v>611127724</v>
      </c>
      <c r="D71" s="302">
        <v>1752.1896</v>
      </c>
      <c r="E71" s="302">
        <v>1778.6452</v>
      </c>
      <c r="F71" s="155">
        <v>30</v>
      </c>
      <c r="G71" s="252">
        <f>E71-D71</f>
        <v>26.455600000000004</v>
      </c>
      <c r="H71" s="155"/>
      <c r="I71" s="155">
        <f>ROUND(F71*G71+H71,0)</f>
        <v>794</v>
      </c>
      <c r="J71" s="243"/>
      <c r="K71" s="160"/>
      <c r="L71" s="160"/>
      <c r="M71" s="160"/>
      <c r="N71" s="160"/>
      <c r="O71" s="160"/>
      <c r="P71" s="189"/>
      <c r="Q71" s="160"/>
      <c r="R71" s="244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243"/>
      <c r="AU71" s="160"/>
      <c r="AV71" s="160"/>
      <c r="AW71" s="160"/>
      <c r="AX71" s="160"/>
      <c r="AY71" s="160"/>
      <c r="AZ71" s="189"/>
      <c r="BA71" s="160"/>
      <c r="BB71" s="24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</row>
    <row r="72" spans="1:68" ht="12.75">
      <c r="A72" s="103"/>
      <c r="B72" s="173" t="s">
        <v>542</v>
      </c>
      <c r="C72" s="305"/>
      <c r="D72" s="306"/>
      <c r="E72" s="306"/>
      <c r="F72" s="155"/>
      <c r="G72" s="212"/>
      <c r="H72" s="155"/>
      <c r="I72" s="155"/>
      <c r="J72" s="243"/>
      <c r="K72" s="160"/>
      <c r="L72" s="160"/>
      <c r="M72" s="160"/>
      <c r="N72" s="160"/>
      <c r="O72" s="160"/>
      <c r="P72" s="189"/>
      <c r="Q72" s="160"/>
      <c r="R72" s="244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243"/>
      <c r="AU72" s="160"/>
      <c r="AV72" s="160"/>
      <c r="AW72" s="160"/>
      <c r="AX72" s="160"/>
      <c r="AY72" s="160"/>
      <c r="AZ72" s="189"/>
      <c r="BA72" s="160"/>
      <c r="BB72" s="24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</row>
    <row r="73" spans="1:68" ht="12.75">
      <c r="A73" s="96"/>
      <c r="B73" s="312"/>
      <c r="C73" s="171"/>
      <c r="D73" s="212"/>
      <c r="E73" s="212"/>
      <c r="F73" s="155"/>
      <c r="G73" s="212"/>
      <c r="H73" s="155"/>
      <c r="I73" s="155"/>
      <c r="J73" s="243"/>
      <c r="K73" s="160"/>
      <c r="L73" s="160"/>
      <c r="M73" s="160"/>
      <c r="N73" s="160"/>
      <c r="O73" s="160"/>
      <c r="P73" s="189"/>
      <c r="Q73" s="160"/>
      <c r="R73" s="244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243"/>
      <c r="AU73" s="160"/>
      <c r="AV73" s="160"/>
      <c r="AW73" s="160"/>
      <c r="AX73" s="160"/>
      <c r="AY73" s="160"/>
      <c r="AZ73" s="189"/>
      <c r="BA73" s="160"/>
      <c r="BB73" s="24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</row>
    <row r="74" spans="1:68" ht="12.75">
      <c r="A74" s="103"/>
      <c r="B74" s="148"/>
      <c r="C74" s="150"/>
      <c r="D74" s="150"/>
      <c r="E74" s="150"/>
      <c r="F74" s="150" t="s">
        <v>264</v>
      </c>
      <c r="G74" s="150"/>
      <c r="H74" s="151"/>
      <c r="I74" s="235">
        <f>ROUND((SUM(I50:I69)-I73),0)</f>
        <v>245674</v>
      </c>
      <c r="J74" s="243"/>
      <c r="K74" s="160"/>
      <c r="L74" s="160"/>
      <c r="M74" s="160"/>
      <c r="N74" s="160"/>
      <c r="O74" s="160"/>
      <c r="P74" s="189"/>
      <c r="Q74" s="160"/>
      <c r="R74" s="244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243"/>
      <c r="AU74" s="160"/>
      <c r="AV74" s="160"/>
      <c r="AW74" s="160"/>
      <c r="AX74" s="160"/>
      <c r="AY74" s="160"/>
      <c r="AZ74" s="189"/>
      <c r="BA74" s="160"/>
      <c r="BB74" s="24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</row>
    <row r="75" spans="1:68" ht="12.75">
      <c r="A75" s="102"/>
      <c r="B75" s="150"/>
      <c r="C75" s="150"/>
      <c r="D75" s="150"/>
      <c r="E75" s="150"/>
      <c r="F75" s="150"/>
      <c r="G75" s="150" t="s">
        <v>265</v>
      </c>
      <c r="H75" s="151"/>
      <c r="I75" s="235">
        <f>ROUND((I18+I20-I47-I74),0)</f>
        <v>5530782</v>
      </c>
      <c r="J75" s="160"/>
      <c r="K75" s="160">
        <f>I18+I20+I22-I47-I74</f>
        <v>5604792</v>
      </c>
      <c r="L75" s="160"/>
      <c r="M75" s="160"/>
      <c r="N75" s="160"/>
      <c r="O75" s="160"/>
      <c r="P75" s="190"/>
      <c r="Q75" s="160"/>
      <c r="R75" s="24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60"/>
      <c r="AU75" s="160"/>
      <c r="AV75" s="160"/>
      <c r="AW75" s="160"/>
      <c r="AX75" s="160"/>
      <c r="AY75" s="160"/>
      <c r="AZ75" s="190"/>
      <c r="BA75" s="160"/>
      <c r="BB75" s="240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</row>
    <row r="76" spans="1:68" ht="12.75">
      <c r="A76" s="96" t="s">
        <v>272</v>
      </c>
      <c r="B76" s="102" t="s">
        <v>266</v>
      </c>
      <c r="C76" s="150"/>
      <c r="D76" s="150"/>
      <c r="E76" s="150"/>
      <c r="F76" s="150"/>
      <c r="G76" s="150"/>
      <c r="H76" s="150"/>
      <c r="I76" s="151"/>
      <c r="J76" s="160"/>
      <c r="K76" s="160"/>
      <c r="L76" s="160"/>
      <c r="M76" s="160"/>
      <c r="N76" s="160"/>
      <c r="O76" s="160"/>
      <c r="P76" s="190"/>
      <c r="Q76" s="160"/>
      <c r="R76" s="24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60"/>
      <c r="AU76" s="160"/>
      <c r="AV76" s="160"/>
      <c r="AW76" s="160"/>
      <c r="AX76" s="160"/>
      <c r="AY76" s="160"/>
      <c r="AZ76" s="190"/>
      <c r="BA76" s="160"/>
      <c r="BB76" s="240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</row>
    <row r="77" spans="1:68" ht="12.75">
      <c r="A77" s="143" t="s">
        <v>270</v>
      </c>
      <c r="B77" s="143" t="s">
        <v>267</v>
      </c>
      <c r="C77" s="171">
        <v>18705639</v>
      </c>
      <c r="D77" s="234">
        <v>18046</v>
      </c>
      <c r="E77" s="234">
        <v>18267.3</v>
      </c>
      <c r="F77" s="175">
        <v>30</v>
      </c>
      <c r="G77" s="322">
        <f>E77-D77</f>
        <v>221.29999999999927</v>
      </c>
      <c r="H77" s="143">
        <v>1221</v>
      </c>
      <c r="I77" s="175">
        <f>F77*G77+H77</f>
        <v>7859.999999999978</v>
      </c>
      <c r="J77" s="160"/>
      <c r="K77" s="160"/>
      <c r="L77" s="160"/>
      <c r="M77" s="160"/>
      <c r="N77" s="160"/>
      <c r="O77" s="160"/>
      <c r="P77" s="190"/>
      <c r="Q77" s="160"/>
      <c r="R77" s="24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60"/>
      <c r="AU77" s="160"/>
      <c r="AV77" s="160"/>
      <c r="AW77" s="160"/>
      <c r="AX77" s="160"/>
      <c r="AY77" s="160"/>
      <c r="AZ77" s="190"/>
      <c r="BA77" s="160"/>
      <c r="BB77" s="240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</row>
    <row r="78" spans="1:68" ht="12.75">
      <c r="A78" s="144"/>
      <c r="B78" s="144" t="s">
        <v>268</v>
      </c>
      <c r="C78" s="169"/>
      <c r="D78" s="144"/>
      <c r="E78" s="144"/>
      <c r="F78" s="164"/>
      <c r="G78" s="144"/>
      <c r="H78" s="144"/>
      <c r="I78" s="144"/>
      <c r="J78" s="160"/>
      <c r="K78" s="160"/>
      <c r="L78" s="160"/>
      <c r="M78" s="160"/>
      <c r="N78" s="160"/>
      <c r="O78" s="160"/>
      <c r="P78" s="190"/>
      <c r="Q78" s="160"/>
      <c r="R78" s="24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60"/>
      <c r="AU78" s="160"/>
      <c r="AV78" s="160"/>
      <c r="AW78" s="160"/>
      <c r="AX78" s="160"/>
      <c r="AY78" s="160"/>
      <c r="AZ78" s="190"/>
      <c r="BA78" s="160"/>
      <c r="BB78" s="240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</row>
    <row r="79" spans="1:68" ht="12.75">
      <c r="A79" s="143" t="s">
        <v>271</v>
      </c>
      <c r="B79" s="143" t="s">
        <v>269</v>
      </c>
      <c r="C79" s="171">
        <v>18705843</v>
      </c>
      <c r="D79" s="234">
        <v>1070.8</v>
      </c>
      <c r="E79" s="234">
        <v>1070.8</v>
      </c>
      <c r="F79" s="175">
        <v>30</v>
      </c>
      <c r="G79" s="233">
        <f>E79-D79</f>
        <v>0</v>
      </c>
      <c r="H79" s="143">
        <v>0</v>
      </c>
      <c r="I79" s="175">
        <f>F79*G79+H79</f>
        <v>0</v>
      </c>
      <c r="J79" s="160"/>
      <c r="K79" s="160"/>
      <c r="L79" s="160"/>
      <c r="M79" s="160"/>
      <c r="N79" s="160"/>
      <c r="O79" s="160"/>
      <c r="P79" s="190"/>
      <c r="Q79" s="160"/>
      <c r="R79" s="24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60"/>
      <c r="AU79" s="160"/>
      <c r="AV79" s="160"/>
      <c r="AW79" s="160"/>
      <c r="AX79" s="160"/>
      <c r="AY79" s="160"/>
      <c r="AZ79" s="190"/>
      <c r="BA79" s="160"/>
      <c r="BB79" s="240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</row>
    <row r="80" spans="1:68" ht="12.75">
      <c r="A80" s="144"/>
      <c r="B80" s="144" t="s">
        <v>268</v>
      </c>
      <c r="C80" s="169"/>
      <c r="D80" s="144"/>
      <c r="E80" s="144"/>
      <c r="F80" s="164"/>
      <c r="G80" s="144"/>
      <c r="H80" s="144"/>
      <c r="I80" s="144"/>
      <c r="J80" s="160"/>
      <c r="K80" s="160"/>
      <c r="L80" s="160"/>
      <c r="M80" s="160"/>
      <c r="N80" s="160"/>
      <c r="O80" s="160"/>
      <c r="P80" s="190"/>
      <c r="Q80" s="160"/>
      <c r="R80" s="24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60"/>
      <c r="AU80" s="160"/>
      <c r="AV80" s="160"/>
      <c r="AW80" s="160"/>
      <c r="AX80" s="160"/>
      <c r="AY80" s="160"/>
      <c r="AZ80" s="190"/>
      <c r="BA80" s="160"/>
      <c r="BB80" s="240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</row>
    <row r="81" spans="1:68" ht="12.75">
      <c r="A81" s="102"/>
      <c r="B81" s="150"/>
      <c r="C81" s="217"/>
      <c r="D81" s="199"/>
      <c r="E81" s="218"/>
      <c r="F81" s="218" t="s">
        <v>273</v>
      </c>
      <c r="G81" s="219"/>
      <c r="H81" s="151"/>
      <c r="I81" s="155">
        <f>I77+I79</f>
        <v>7859.999999999978</v>
      </c>
      <c r="J81" s="243"/>
      <c r="K81" s="160"/>
      <c r="L81" s="160"/>
      <c r="M81" s="160"/>
      <c r="N81" s="160"/>
      <c r="O81" s="160"/>
      <c r="P81" s="189"/>
      <c r="Q81" s="160"/>
      <c r="R81" s="244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243"/>
      <c r="AU81" s="160"/>
      <c r="AV81" s="160"/>
      <c r="AW81" s="160"/>
      <c r="AX81" s="160"/>
      <c r="AY81" s="160"/>
      <c r="AZ81" s="189"/>
      <c r="BA81" s="160"/>
      <c r="BB81" s="24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</row>
    <row r="82" spans="1:68" ht="12.75">
      <c r="A82" s="102"/>
      <c r="B82" s="150"/>
      <c r="C82" s="217"/>
      <c r="D82" s="199"/>
      <c r="E82" s="218"/>
      <c r="F82" s="218"/>
      <c r="G82" s="219" t="s">
        <v>274</v>
      </c>
      <c r="H82" s="151"/>
      <c r="I82" s="235">
        <f>I75+I81</f>
        <v>5538642</v>
      </c>
      <c r="J82" s="160"/>
      <c r="K82" s="160"/>
      <c r="L82" s="160"/>
      <c r="M82" s="160"/>
      <c r="N82" s="160"/>
      <c r="O82" s="160"/>
      <c r="P82" s="190"/>
      <c r="Q82" s="160"/>
      <c r="R82" s="24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60"/>
      <c r="AU82" s="160"/>
      <c r="AV82" s="160"/>
      <c r="AW82" s="160"/>
      <c r="AX82" s="160"/>
      <c r="AY82" s="160"/>
      <c r="AZ82" s="190"/>
      <c r="BA82" s="160"/>
      <c r="BB82" s="240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</row>
    <row r="83" spans="1:68" ht="12.75">
      <c r="A83" s="145" t="s">
        <v>275</v>
      </c>
      <c r="B83" s="146"/>
      <c r="C83" s="220"/>
      <c r="D83" s="202"/>
      <c r="E83" s="221"/>
      <c r="F83" s="221"/>
      <c r="G83" s="204"/>
      <c r="H83" s="146"/>
      <c r="I83" s="205"/>
      <c r="J83" s="160"/>
      <c r="K83" s="160"/>
      <c r="L83" s="160"/>
      <c r="M83" s="160"/>
      <c r="N83" s="160"/>
      <c r="O83" s="160"/>
      <c r="P83" s="190"/>
      <c r="Q83" s="160"/>
      <c r="R83" s="24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60"/>
      <c r="AU83" s="160"/>
      <c r="AV83" s="160"/>
      <c r="AW83" s="160"/>
      <c r="AX83" s="160"/>
      <c r="AY83" s="160"/>
      <c r="AZ83" s="190"/>
      <c r="BA83" s="160"/>
      <c r="BB83" s="240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</row>
    <row r="84" spans="1:68" ht="12.75">
      <c r="A84" s="222" t="s">
        <v>538</v>
      </c>
      <c r="B84" s="223"/>
      <c r="C84" s="223"/>
      <c r="D84" s="191"/>
      <c r="E84" s="148"/>
      <c r="F84" s="148"/>
      <c r="G84" s="148"/>
      <c r="H84" s="148"/>
      <c r="I84" s="209"/>
      <c r="J84" s="160"/>
      <c r="K84" s="160"/>
      <c r="L84" s="160"/>
      <c r="M84" s="160"/>
      <c r="N84" s="160"/>
      <c r="O84" s="160"/>
      <c r="P84" s="190"/>
      <c r="Q84" s="160"/>
      <c r="R84" s="24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60"/>
      <c r="AU84" s="160"/>
      <c r="AV84" s="160"/>
      <c r="AW84" s="160"/>
      <c r="AX84" s="160"/>
      <c r="AY84" s="160"/>
      <c r="AZ84" s="190"/>
      <c r="BA84" s="160"/>
      <c r="BB84" s="240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</row>
    <row r="85" spans="1:68" ht="12.75">
      <c r="A85" s="160" t="s">
        <v>279</v>
      </c>
      <c r="B85" s="160"/>
      <c r="C85" s="264"/>
      <c r="D85" s="181"/>
      <c r="E85" s="265"/>
      <c r="F85" s="265"/>
      <c r="G85" s="188"/>
      <c r="H85" s="160"/>
      <c r="I85" s="190"/>
      <c r="J85" s="160"/>
      <c r="K85" s="160"/>
      <c r="L85" s="160"/>
      <c r="M85" s="160"/>
      <c r="N85" s="160"/>
      <c r="O85" s="160"/>
      <c r="P85" s="190"/>
      <c r="Q85" s="160"/>
      <c r="R85" s="24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60"/>
      <c r="AU85" s="160"/>
      <c r="AV85" s="160"/>
      <c r="AW85" s="160"/>
      <c r="AX85" s="160"/>
      <c r="AY85" s="160"/>
      <c r="AZ85" s="190"/>
      <c r="BA85" s="160"/>
      <c r="BB85" s="240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</row>
    <row r="86" spans="1:68" ht="12.75">
      <c r="A86" s="160"/>
      <c r="B86" s="160"/>
      <c r="C86" s="181"/>
      <c r="D86" s="313" t="s">
        <v>280</v>
      </c>
      <c r="E86" s="313"/>
      <c r="F86" s="314"/>
      <c r="G86" s="243"/>
      <c r="H86" s="243"/>
      <c r="I86" s="189"/>
      <c r="J86" s="160"/>
      <c r="K86" s="160"/>
      <c r="L86" s="188"/>
      <c r="M86" s="188"/>
      <c r="N86" s="160"/>
      <c r="O86" s="160"/>
      <c r="P86" s="190"/>
      <c r="Q86" s="160"/>
      <c r="R86" s="24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60"/>
      <c r="AU86" s="160"/>
      <c r="AV86" s="188"/>
      <c r="AW86" s="188"/>
      <c r="AX86" s="160"/>
      <c r="AY86" s="160"/>
      <c r="AZ86" s="190"/>
      <c r="BA86" s="160"/>
      <c r="BB86" s="240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</row>
    <row r="87" spans="1:68" ht="12.75">
      <c r="A87" s="160"/>
      <c r="B87" s="160"/>
      <c r="C87" s="181"/>
      <c r="D87" s="313" t="s">
        <v>531</v>
      </c>
      <c r="E87" s="313"/>
      <c r="F87" s="314"/>
      <c r="G87" s="243"/>
      <c r="H87" s="243"/>
      <c r="I87" s="189"/>
      <c r="J87" s="243"/>
      <c r="K87" s="160"/>
      <c r="L87" s="160"/>
      <c r="M87" s="160"/>
      <c r="N87" s="160"/>
      <c r="O87" s="160"/>
      <c r="P87" s="189"/>
      <c r="Q87" s="160"/>
      <c r="R87" s="244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243"/>
      <c r="AU87" s="160"/>
      <c r="AV87" s="160"/>
      <c r="AW87" s="160"/>
      <c r="AX87" s="160"/>
      <c r="AY87" s="160"/>
      <c r="AZ87" s="189"/>
      <c r="BA87" s="160"/>
      <c r="BB87" s="24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</row>
    <row r="88" spans="1:68" ht="12.75">
      <c r="A88" s="160"/>
      <c r="B88" s="160"/>
      <c r="C88" s="264"/>
      <c r="D88" s="313" t="s">
        <v>539</v>
      </c>
      <c r="E88" s="313"/>
      <c r="F88" s="314"/>
      <c r="G88" s="243"/>
      <c r="H88" s="243"/>
      <c r="I88" s="189"/>
      <c r="J88" s="160"/>
      <c r="K88" s="160"/>
      <c r="L88" s="160"/>
      <c r="M88" s="160"/>
      <c r="N88" s="160"/>
      <c r="O88" s="160"/>
      <c r="P88" s="190"/>
      <c r="Q88" s="160"/>
      <c r="R88" s="24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60"/>
      <c r="AU88" s="160"/>
      <c r="AV88" s="160"/>
      <c r="AW88" s="160"/>
      <c r="AX88" s="160"/>
      <c r="AY88" s="160"/>
      <c r="AZ88" s="190"/>
      <c r="BA88" s="160"/>
      <c r="BB88" s="240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</row>
    <row r="89" spans="1:68" ht="12.75">
      <c r="A89" s="120"/>
      <c r="B89" s="120"/>
      <c r="C89" s="120"/>
      <c r="D89" s="120" t="s">
        <v>192</v>
      </c>
      <c r="E89" s="120"/>
      <c r="F89" s="120"/>
      <c r="G89" s="120"/>
      <c r="H89" s="120"/>
      <c r="I89" s="120"/>
      <c r="J89" s="160"/>
      <c r="K89" s="160"/>
      <c r="L89" s="160"/>
      <c r="M89" s="160"/>
      <c r="N89" s="160"/>
      <c r="O89" s="160"/>
      <c r="P89" s="190"/>
      <c r="Q89" s="160"/>
      <c r="R89" s="24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60" t="s">
        <v>530</v>
      </c>
      <c r="AU89" s="120"/>
      <c r="AV89" s="120"/>
      <c r="AW89" s="120"/>
      <c r="AX89" s="120"/>
      <c r="AY89" s="120"/>
      <c r="AZ89" s="120"/>
      <c r="BA89" s="120"/>
      <c r="BB89" s="120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</row>
    <row r="90" spans="1:68" ht="12.75">
      <c r="A90" s="120"/>
      <c r="B90" s="120"/>
      <c r="C90" s="120"/>
      <c r="D90" s="120" t="s">
        <v>193</v>
      </c>
      <c r="E90" s="120"/>
      <c r="F90" s="120"/>
      <c r="G90" s="120"/>
      <c r="H90" s="120"/>
      <c r="I90" s="120"/>
      <c r="J90" s="243"/>
      <c r="K90" s="160"/>
      <c r="L90" s="160"/>
      <c r="M90" s="160"/>
      <c r="N90" s="160"/>
      <c r="O90" s="160"/>
      <c r="P90" s="189"/>
      <c r="Q90" s="160"/>
      <c r="R90" s="244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60" t="s">
        <v>535</v>
      </c>
      <c r="AU90" s="120"/>
      <c r="AV90" s="120"/>
      <c r="AW90" s="120"/>
      <c r="AX90" s="120"/>
      <c r="AY90" s="120"/>
      <c r="AZ90" s="120"/>
      <c r="BA90" s="120"/>
      <c r="BB90" s="120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</row>
    <row r="91" spans="1:68" ht="13.5">
      <c r="A91" s="120"/>
      <c r="B91" s="120"/>
      <c r="C91" s="120"/>
      <c r="D91" s="120"/>
      <c r="E91" s="120"/>
      <c r="F91" s="120"/>
      <c r="G91" s="120"/>
      <c r="H91" s="120"/>
      <c r="I91" s="120"/>
      <c r="J91" s="243"/>
      <c r="K91" s="160"/>
      <c r="L91" s="160"/>
      <c r="M91" s="160"/>
      <c r="N91" s="160"/>
      <c r="O91" s="160"/>
      <c r="P91" s="189"/>
      <c r="Q91" s="160"/>
      <c r="R91" s="244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60"/>
      <c r="AU91" s="120" t="s">
        <v>4</v>
      </c>
      <c r="AV91" s="120"/>
      <c r="AW91" s="120"/>
      <c r="AX91" s="120"/>
      <c r="AY91" s="254" t="s">
        <v>69</v>
      </c>
      <c r="AZ91" s="196" t="s">
        <v>557</v>
      </c>
      <c r="BA91" s="120"/>
      <c r="BB91" s="120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</row>
    <row r="92" spans="1:68" ht="12.75">
      <c r="A92" s="120"/>
      <c r="B92" s="120"/>
      <c r="C92" s="120" t="s">
        <v>194</v>
      </c>
      <c r="D92" s="120"/>
      <c r="E92" s="120"/>
      <c r="F92" s="120"/>
      <c r="G92" s="120"/>
      <c r="H92" s="120"/>
      <c r="I92" s="120"/>
      <c r="J92" s="243"/>
      <c r="K92" s="160"/>
      <c r="L92" s="160"/>
      <c r="M92" s="160"/>
      <c r="N92" s="160"/>
      <c r="O92" s="160"/>
      <c r="P92" s="189"/>
      <c r="Q92" s="160"/>
      <c r="R92" s="244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50" t="s">
        <v>108</v>
      </c>
      <c r="AU92" s="150"/>
      <c r="AV92" s="150"/>
      <c r="AW92" s="150"/>
      <c r="AX92" s="150"/>
      <c r="AY92" s="151"/>
      <c r="AZ92" s="96" t="s">
        <v>175</v>
      </c>
      <c r="BA92" s="96"/>
      <c r="BB92" s="96" t="s">
        <v>109</v>
      </c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</row>
    <row r="93" spans="1:68" ht="12.75">
      <c r="A93" s="120"/>
      <c r="B93" s="120"/>
      <c r="C93" s="120"/>
      <c r="D93" s="277" t="s">
        <v>559</v>
      </c>
      <c r="E93" s="277"/>
      <c r="F93" s="120"/>
      <c r="G93" s="120"/>
      <c r="H93" s="120"/>
      <c r="I93" s="120"/>
      <c r="J93" s="243"/>
      <c r="K93" s="160"/>
      <c r="L93" s="160"/>
      <c r="M93" s="160"/>
      <c r="N93" s="160"/>
      <c r="O93" s="160"/>
      <c r="P93" s="189"/>
      <c r="Q93" s="160"/>
      <c r="R93" s="244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273" t="s">
        <v>301</v>
      </c>
      <c r="AU93" s="150"/>
      <c r="AV93" s="150"/>
      <c r="AW93" s="150"/>
      <c r="AX93" s="150"/>
      <c r="AY93" s="151"/>
      <c r="AZ93" s="235">
        <v>60606</v>
      </c>
      <c r="BA93" s="199"/>
      <c r="BB93" s="299">
        <f>AZ93*BB58</f>
        <v>205360.79275238913</v>
      </c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</row>
    <row r="94" spans="1:68" ht="12.75">
      <c r="A94" s="120" t="s">
        <v>528</v>
      </c>
      <c r="B94" s="120"/>
      <c r="C94" s="120"/>
      <c r="D94" s="120"/>
      <c r="E94" s="120"/>
      <c r="F94" s="120"/>
      <c r="G94" s="120"/>
      <c r="H94" s="120"/>
      <c r="I94" s="120"/>
      <c r="J94" s="243"/>
      <c r="K94" s="160"/>
      <c r="L94" s="160"/>
      <c r="M94" s="160"/>
      <c r="N94" s="160"/>
      <c r="O94" s="160"/>
      <c r="P94" s="189"/>
      <c r="Q94" s="160"/>
      <c r="R94" s="244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273" t="s">
        <v>300</v>
      </c>
      <c r="AU94" s="150"/>
      <c r="AV94" s="150"/>
      <c r="AW94" s="150"/>
      <c r="AX94" s="150"/>
      <c r="AY94" s="151"/>
      <c r="AZ94" s="235">
        <f>AZ131-SUM(AZ112:AZ120)-AZ109-AZ103-AZ96-AZ95-AZ93</f>
        <v>4117278</v>
      </c>
      <c r="BA94" s="199"/>
      <c r="BB94" s="299">
        <f>AZ94*BB58</f>
        <v>13951217.273239797</v>
      </c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</row>
    <row r="95" spans="1:68" ht="12.75">
      <c r="A95" s="120" t="s">
        <v>196</v>
      </c>
      <c r="B95" s="120"/>
      <c r="C95" s="120"/>
      <c r="D95" s="120"/>
      <c r="E95" s="120"/>
      <c r="F95" s="120"/>
      <c r="G95" s="120"/>
      <c r="H95" s="120"/>
      <c r="I95" s="120"/>
      <c r="J95" s="243"/>
      <c r="K95" s="243"/>
      <c r="L95" s="160"/>
      <c r="M95" s="160"/>
      <c r="N95" s="160"/>
      <c r="O95" s="160"/>
      <c r="P95" s="189"/>
      <c r="Q95" s="160"/>
      <c r="R95" s="244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273" t="s">
        <v>537</v>
      </c>
      <c r="AU95" s="150"/>
      <c r="AV95" s="150"/>
      <c r="AW95" s="150"/>
      <c r="AX95" s="150"/>
      <c r="AY95" s="151"/>
      <c r="AZ95" s="235">
        <v>82024</v>
      </c>
      <c r="BA95" s="199"/>
      <c r="BB95" s="299">
        <f>AZ95*BB58</f>
        <v>277934.75340266584</v>
      </c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</row>
    <row r="96" spans="1:68" ht="12.75">
      <c r="A96" s="120" t="s">
        <v>198</v>
      </c>
      <c r="B96" s="120"/>
      <c r="C96" s="120"/>
      <c r="D96" s="120"/>
      <c r="E96" s="120"/>
      <c r="F96" s="120" t="s">
        <v>197</v>
      </c>
      <c r="G96" s="120"/>
      <c r="H96" s="120"/>
      <c r="I96" s="120"/>
      <c r="J96" s="243"/>
      <c r="K96" s="243"/>
      <c r="L96" s="160"/>
      <c r="M96" s="160"/>
      <c r="N96" s="160"/>
      <c r="O96" s="160"/>
      <c r="P96" s="189"/>
      <c r="Q96" s="160"/>
      <c r="R96" s="244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255" t="s">
        <v>85</v>
      </c>
      <c r="AU96" s="146"/>
      <c r="AV96" s="146"/>
      <c r="AW96" s="146"/>
      <c r="AX96" s="146"/>
      <c r="AY96" s="147"/>
      <c r="AZ96" s="300">
        <f>SUM(AZ97:AZ102)</f>
        <v>971401</v>
      </c>
      <c r="BA96" s="202"/>
      <c r="BB96" s="299">
        <f>AZ96*BB58</f>
        <v>3291550.0023176507</v>
      </c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</row>
    <row r="97" spans="1:68" ht="12.75">
      <c r="A97" s="143" t="s">
        <v>335</v>
      </c>
      <c r="B97" s="171" t="s">
        <v>199</v>
      </c>
      <c r="C97" s="143" t="s">
        <v>200</v>
      </c>
      <c r="D97" s="224" t="s">
        <v>286</v>
      </c>
      <c r="E97" s="225"/>
      <c r="F97" s="143" t="s">
        <v>201</v>
      </c>
      <c r="G97" s="143" t="s">
        <v>404</v>
      </c>
      <c r="H97" s="143" t="s">
        <v>202</v>
      </c>
      <c r="I97" s="143" t="s">
        <v>191</v>
      </c>
      <c r="J97" s="243"/>
      <c r="K97" s="243"/>
      <c r="L97" s="160"/>
      <c r="M97" s="160"/>
      <c r="N97" s="160"/>
      <c r="O97" s="160"/>
      <c r="P97" s="189"/>
      <c r="Q97" s="160"/>
      <c r="R97" s="244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59" t="s">
        <v>87</v>
      </c>
      <c r="AU97" s="160"/>
      <c r="AV97" s="160"/>
      <c r="AW97" s="160"/>
      <c r="AX97" s="160"/>
      <c r="AY97" s="161"/>
      <c r="AZ97" s="163">
        <v>344433</v>
      </c>
      <c r="BA97" s="181"/>
      <c r="BB97" s="299">
        <f>AZ97*BB58</f>
        <v>1167096.226942607</v>
      </c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</row>
    <row r="98" spans="1:68" ht="12.75">
      <c r="A98" s="173"/>
      <c r="B98" s="173"/>
      <c r="C98" s="173"/>
      <c r="D98" s="143" t="s">
        <v>203</v>
      </c>
      <c r="E98" s="145" t="s">
        <v>204</v>
      </c>
      <c r="F98" s="173" t="s">
        <v>205</v>
      </c>
      <c r="G98" s="173" t="s">
        <v>190</v>
      </c>
      <c r="H98" s="173"/>
      <c r="I98" s="173" t="s">
        <v>206</v>
      </c>
      <c r="J98" s="243"/>
      <c r="K98" s="243"/>
      <c r="L98" s="160"/>
      <c r="M98" s="160"/>
      <c r="N98" s="160"/>
      <c r="O98" s="160"/>
      <c r="P98" s="189"/>
      <c r="Q98" s="160"/>
      <c r="R98" s="244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59" t="s">
        <v>88</v>
      </c>
      <c r="AU98" s="160"/>
      <c r="AV98" s="160"/>
      <c r="AW98" s="160"/>
      <c r="AX98" s="160"/>
      <c r="AY98" s="161"/>
      <c r="AZ98" s="163">
        <v>494498</v>
      </c>
      <c r="BA98" s="181"/>
      <c r="BB98" s="299">
        <f>AZ98*BB58</f>
        <v>1675584.946943717</v>
      </c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</row>
    <row r="99" spans="1:68" ht="12.75">
      <c r="A99" s="144"/>
      <c r="B99" s="144"/>
      <c r="C99" s="144"/>
      <c r="D99" s="144" t="s">
        <v>207</v>
      </c>
      <c r="E99" s="103" t="s">
        <v>207</v>
      </c>
      <c r="F99" s="144" t="s">
        <v>208</v>
      </c>
      <c r="G99" s="144"/>
      <c r="H99" s="144"/>
      <c r="I99" s="144"/>
      <c r="J99" s="160"/>
      <c r="K99" s="160"/>
      <c r="L99" s="160"/>
      <c r="M99" s="160"/>
      <c r="N99" s="160"/>
      <c r="O99" s="160"/>
      <c r="P99" s="189"/>
      <c r="Q99" s="160"/>
      <c r="R99" s="244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59" t="s">
        <v>89</v>
      </c>
      <c r="AU99" s="160"/>
      <c r="AV99" s="160"/>
      <c r="AW99" s="160"/>
      <c r="AX99" s="160"/>
      <c r="AY99" s="161"/>
      <c r="AZ99" s="163">
        <v>128396</v>
      </c>
      <c r="BA99" s="181"/>
      <c r="BB99" s="299">
        <f>AZ99*BB58</f>
        <v>435064.2567771467</v>
      </c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</row>
    <row r="100" spans="1:68" ht="12.75">
      <c r="A100" s="152">
        <v>1</v>
      </c>
      <c r="B100" s="152">
        <v>2</v>
      </c>
      <c r="C100" s="152">
        <v>3</v>
      </c>
      <c r="D100" s="152">
        <v>4</v>
      </c>
      <c r="E100" s="152">
        <v>5</v>
      </c>
      <c r="F100" s="152">
        <v>6</v>
      </c>
      <c r="G100" s="152">
        <v>7</v>
      </c>
      <c r="H100" s="152">
        <v>8</v>
      </c>
      <c r="I100" s="152">
        <v>9</v>
      </c>
      <c r="J100" s="160"/>
      <c r="K100" s="160"/>
      <c r="L100" s="160"/>
      <c r="M100" s="160"/>
      <c r="N100" s="160"/>
      <c r="O100" s="160"/>
      <c r="P100" s="189"/>
      <c r="Q100" s="160"/>
      <c r="R100" s="244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59" t="s">
        <v>90</v>
      </c>
      <c r="AU100" s="160"/>
      <c r="AV100" s="160"/>
      <c r="AW100" s="160"/>
      <c r="AX100" s="160"/>
      <c r="AY100" s="161"/>
      <c r="AZ100" s="163">
        <v>350</v>
      </c>
      <c r="BA100" s="181"/>
      <c r="BB100" s="299">
        <f>AZ100*BB58</f>
        <v>1185.9597641048113</v>
      </c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</row>
    <row r="101" spans="1:68" ht="12.75">
      <c r="A101" s="103"/>
      <c r="B101" s="148"/>
      <c r="C101" s="320" t="s">
        <v>287</v>
      </c>
      <c r="D101" s="320"/>
      <c r="E101" s="148"/>
      <c r="F101" s="148"/>
      <c r="G101" s="148"/>
      <c r="H101" s="148"/>
      <c r="I101" s="149"/>
      <c r="J101" s="160"/>
      <c r="K101" s="160"/>
      <c r="L101" s="160"/>
      <c r="M101" s="160"/>
      <c r="N101" s="160"/>
      <c r="O101" s="160"/>
      <c r="P101" s="189"/>
      <c r="Q101" s="160"/>
      <c r="R101" s="244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59" t="s">
        <v>91</v>
      </c>
      <c r="AU101" s="160"/>
      <c r="AV101" s="160"/>
      <c r="AW101" s="160"/>
      <c r="AX101" s="160"/>
      <c r="AY101" s="161"/>
      <c r="AZ101" s="163">
        <v>2724</v>
      </c>
      <c r="BA101" s="181"/>
      <c r="BB101" s="299">
        <f>AZ101*BB58</f>
        <v>9230.155421204303</v>
      </c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</row>
    <row r="102" spans="1:68" ht="12.75">
      <c r="A102" s="96"/>
      <c r="B102" s="102" t="s">
        <v>526</v>
      </c>
      <c r="C102" s="150"/>
      <c r="D102" s="150"/>
      <c r="E102" s="150"/>
      <c r="F102" s="150"/>
      <c r="G102" s="150"/>
      <c r="H102" s="150"/>
      <c r="I102" s="151"/>
      <c r="J102" s="160"/>
      <c r="K102" s="160"/>
      <c r="L102" s="160"/>
      <c r="M102" s="160"/>
      <c r="N102" s="160"/>
      <c r="O102" s="160"/>
      <c r="P102" s="189"/>
      <c r="Q102" s="160"/>
      <c r="R102" s="244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03" t="s">
        <v>41</v>
      </c>
      <c r="AU102" s="148"/>
      <c r="AV102" s="148"/>
      <c r="AW102" s="148"/>
      <c r="AX102" s="148"/>
      <c r="AY102" s="149"/>
      <c r="AZ102" s="164">
        <v>1000</v>
      </c>
      <c r="BA102" s="191"/>
      <c r="BB102" s="299">
        <f>AZ102*BB58</f>
        <v>3388.4564688708892</v>
      </c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</row>
    <row r="103" spans="1:68" ht="12.75">
      <c r="A103" s="171">
        <v>1</v>
      </c>
      <c r="B103" s="143" t="s">
        <v>249</v>
      </c>
      <c r="C103" s="197">
        <v>804152757</v>
      </c>
      <c r="D103" s="230">
        <v>1980.3186</v>
      </c>
      <c r="E103" s="230">
        <v>2028.9682</v>
      </c>
      <c r="F103" s="155">
        <v>36000</v>
      </c>
      <c r="G103" s="252">
        <f>E103-D103</f>
        <v>48.649599999999964</v>
      </c>
      <c r="H103" s="96"/>
      <c r="I103" s="155">
        <f>F103*G103+H103</f>
        <v>1751385.5999999987</v>
      </c>
      <c r="J103" s="160"/>
      <c r="K103" s="160"/>
      <c r="L103" s="160"/>
      <c r="M103" s="160"/>
      <c r="N103" s="160"/>
      <c r="O103" s="160"/>
      <c r="P103" s="189"/>
      <c r="Q103" s="160"/>
      <c r="R103" s="244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255" t="s">
        <v>303</v>
      </c>
      <c r="AU103" s="146"/>
      <c r="AV103" s="146"/>
      <c r="AW103" s="146"/>
      <c r="AX103" s="146"/>
      <c r="AY103" s="147"/>
      <c r="AZ103" s="300">
        <f>SUM(AZ104:AZ108)</f>
        <v>13910</v>
      </c>
      <c r="BA103" s="202"/>
      <c r="BB103" s="299">
        <f>AZ103*BB58</f>
        <v>47133.42948199407</v>
      </c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</row>
    <row r="104" spans="1:68" ht="12.75">
      <c r="A104" s="144"/>
      <c r="B104" s="103" t="s">
        <v>250</v>
      </c>
      <c r="C104" s="213">
        <v>109054169</v>
      </c>
      <c r="D104" s="230">
        <v>2474.7557</v>
      </c>
      <c r="E104" s="230">
        <v>2526.4346</v>
      </c>
      <c r="F104" s="155">
        <v>36000</v>
      </c>
      <c r="G104" s="252">
        <f>E104-D104</f>
        <v>51.678899999999885</v>
      </c>
      <c r="H104" s="96"/>
      <c r="I104" s="155">
        <f>F104*G104+H104</f>
        <v>1860440.399999996</v>
      </c>
      <c r="J104" s="160"/>
      <c r="K104" s="160"/>
      <c r="L104" s="188"/>
      <c r="M104" s="188"/>
      <c r="N104" s="160"/>
      <c r="O104" s="160"/>
      <c r="P104" s="189"/>
      <c r="Q104" s="160"/>
      <c r="R104" s="244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59"/>
      <c r="AU104" s="160" t="s">
        <v>389</v>
      </c>
      <c r="AV104" s="160"/>
      <c r="AW104" s="160"/>
      <c r="AX104" s="160"/>
      <c r="AY104" s="161"/>
      <c r="AZ104" s="163">
        <v>2550</v>
      </c>
      <c r="BA104" s="181"/>
      <c r="BB104" s="299">
        <f>AZ104*BB58</f>
        <v>8640.563995620769</v>
      </c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</row>
    <row r="105" spans="1:68" ht="12.75">
      <c r="A105" s="102"/>
      <c r="B105" s="150"/>
      <c r="C105" s="148"/>
      <c r="D105" s="150"/>
      <c r="E105" s="150"/>
      <c r="F105" s="214" t="s">
        <v>212</v>
      </c>
      <c r="G105" s="150"/>
      <c r="H105" s="151"/>
      <c r="I105" s="155">
        <f>I103+I104</f>
        <v>3611825.9999999944</v>
      </c>
      <c r="J105" s="160"/>
      <c r="K105" s="160"/>
      <c r="L105" s="160"/>
      <c r="M105" s="160"/>
      <c r="N105" s="160"/>
      <c r="O105" s="160"/>
      <c r="P105" s="190"/>
      <c r="Q105" s="160"/>
      <c r="R105" s="16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59" t="s">
        <v>385</v>
      </c>
      <c r="AU105" s="160"/>
      <c r="AV105" s="160" t="s">
        <v>304</v>
      </c>
      <c r="AW105" s="160"/>
      <c r="AX105" s="160"/>
      <c r="AY105" s="161"/>
      <c r="AZ105" s="163">
        <v>4460</v>
      </c>
      <c r="BA105" s="181"/>
      <c r="BB105" s="299">
        <f>AZ105*BB58</f>
        <v>15112.515851164166</v>
      </c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</row>
    <row r="106" spans="1:68" ht="12.75">
      <c r="A106" s="96" t="s">
        <v>213</v>
      </c>
      <c r="B106" s="102" t="s">
        <v>214</v>
      </c>
      <c r="C106" s="150"/>
      <c r="D106" s="150"/>
      <c r="E106" s="150"/>
      <c r="F106" s="150"/>
      <c r="G106" s="150"/>
      <c r="H106" s="150"/>
      <c r="I106" s="151"/>
      <c r="J106" s="160"/>
      <c r="K106" s="160"/>
      <c r="L106" s="160"/>
      <c r="M106" s="160"/>
      <c r="N106" s="160"/>
      <c r="O106" s="160"/>
      <c r="P106" s="190"/>
      <c r="Q106" s="160"/>
      <c r="R106" s="16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59" t="s">
        <v>385</v>
      </c>
      <c r="AU106" s="160"/>
      <c r="AV106" s="160" t="s">
        <v>390</v>
      </c>
      <c r="AW106" s="160"/>
      <c r="AX106" s="160"/>
      <c r="AY106" s="161"/>
      <c r="AZ106" s="163">
        <v>50</v>
      </c>
      <c r="BA106" s="181"/>
      <c r="BB106" s="299">
        <f>AZ106*BB58</f>
        <v>169.42282344354447</v>
      </c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</row>
    <row r="107" spans="1:68" ht="12.75">
      <c r="A107" s="96" t="s">
        <v>215</v>
      </c>
      <c r="B107" s="96" t="s">
        <v>216</v>
      </c>
      <c r="C107" s="213">
        <v>109053225</v>
      </c>
      <c r="D107" s="230">
        <v>7162.955</v>
      </c>
      <c r="E107" s="230">
        <v>7216.7659</v>
      </c>
      <c r="F107" s="155">
        <v>21000</v>
      </c>
      <c r="G107" s="252">
        <f>E107-D107</f>
        <v>53.8109000000004</v>
      </c>
      <c r="H107" s="96"/>
      <c r="I107" s="155">
        <f>F107*G107+H107</f>
        <v>1130028.9000000085</v>
      </c>
      <c r="J107" s="160"/>
      <c r="K107" s="160"/>
      <c r="L107" s="160"/>
      <c r="M107" s="160"/>
      <c r="N107" s="160"/>
      <c r="O107" s="160"/>
      <c r="P107" s="190"/>
      <c r="Q107" s="160"/>
      <c r="R107" s="16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60"/>
      <c r="AU107" s="160"/>
      <c r="AV107" s="160" t="s">
        <v>391</v>
      </c>
      <c r="AW107" s="160"/>
      <c r="AX107" s="160"/>
      <c r="AY107" s="160"/>
      <c r="AZ107" s="163">
        <v>100</v>
      </c>
      <c r="BA107" s="168"/>
      <c r="BB107" s="299">
        <f>AZ107*BB58</f>
        <v>338.84564688708895</v>
      </c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</row>
    <row r="108" spans="1:68" ht="12.75">
      <c r="A108" s="96" t="s">
        <v>521</v>
      </c>
      <c r="B108" s="150" t="s">
        <v>524</v>
      </c>
      <c r="C108" s="148"/>
      <c r="D108" s="150"/>
      <c r="E108" s="150"/>
      <c r="F108" s="214"/>
      <c r="G108" s="150"/>
      <c r="H108" s="151"/>
      <c r="I108" s="155"/>
      <c r="J108" s="160"/>
      <c r="K108" s="160"/>
      <c r="L108" s="160"/>
      <c r="M108" s="160"/>
      <c r="N108" s="160"/>
      <c r="O108" s="160"/>
      <c r="P108" s="190"/>
      <c r="Q108" s="160"/>
      <c r="R108" s="16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03" t="s">
        <v>155</v>
      </c>
      <c r="AU108" s="148"/>
      <c r="AV108" s="208"/>
      <c r="AW108" s="208"/>
      <c r="AX108" s="148"/>
      <c r="AY108" s="149"/>
      <c r="AZ108" s="164">
        <v>6750</v>
      </c>
      <c r="BA108" s="191"/>
      <c r="BB108" s="299">
        <f>AZ108*BB58</f>
        <v>22872.081164878502</v>
      </c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</row>
    <row r="109" spans="1:68" ht="12.75">
      <c r="A109" s="96" t="s">
        <v>522</v>
      </c>
      <c r="B109" s="102" t="s">
        <v>525</v>
      </c>
      <c r="C109" s="150"/>
      <c r="D109" s="150"/>
      <c r="E109" s="150"/>
      <c r="F109" s="150"/>
      <c r="G109" s="150"/>
      <c r="H109" s="151"/>
      <c r="I109" s="280"/>
      <c r="J109" s="160"/>
      <c r="K109" s="160"/>
      <c r="L109" s="160"/>
      <c r="M109" s="160"/>
      <c r="N109" s="160"/>
      <c r="O109" s="160"/>
      <c r="P109" s="190"/>
      <c r="Q109" s="160"/>
      <c r="R109" s="244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255" t="s">
        <v>536</v>
      </c>
      <c r="AU109" s="146"/>
      <c r="AV109" s="146"/>
      <c r="AW109" s="146"/>
      <c r="AX109" s="146"/>
      <c r="AY109" s="147"/>
      <c r="AZ109" s="300">
        <f>AZ110+AZ111</f>
        <v>124817</v>
      </c>
      <c r="BA109" s="202"/>
      <c r="BB109" s="299">
        <f>AZ109*BB58</f>
        <v>422936.9710750578</v>
      </c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</row>
    <row r="110" spans="1:68" ht="12.75">
      <c r="A110" s="102" t="s">
        <v>523</v>
      </c>
      <c r="B110" s="102"/>
      <c r="C110" s="371"/>
      <c r="D110" s="372"/>
      <c r="E110" s="372"/>
      <c r="F110" s="373"/>
      <c r="G110" s="374"/>
      <c r="H110" s="151"/>
      <c r="I110" s="280"/>
      <c r="J110" s="160"/>
      <c r="K110" s="160"/>
      <c r="L110" s="160"/>
      <c r="M110" s="160"/>
      <c r="N110" s="160"/>
      <c r="O110" s="160"/>
      <c r="P110" s="190"/>
      <c r="Q110" s="160"/>
      <c r="R110" s="16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59" t="s">
        <v>93</v>
      </c>
      <c r="AU110" s="160"/>
      <c r="AV110" s="160"/>
      <c r="AW110" s="160"/>
      <c r="AX110" s="160"/>
      <c r="AY110" s="161"/>
      <c r="AZ110" s="163">
        <v>10471</v>
      </c>
      <c r="BA110" s="181"/>
      <c r="BB110" s="299">
        <f>AZ110*BB58</f>
        <v>35480.52768554708</v>
      </c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</row>
    <row r="111" spans="1:68" ht="12.75">
      <c r="A111" s="96" t="s">
        <v>219</v>
      </c>
      <c r="B111" s="102" t="s">
        <v>220</v>
      </c>
      <c r="C111" s="150"/>
      <c r="D111" s="150"/>
      <c r="E111" s="150"/>
      <c r="F111" s="150"/>
      <c r="G111" s="150"/>
      <c r="H111" s="150"/>
      <c r="I111" s="151"/>
      <c r="J111" s="160"/>
      <c r="K111" s="160"/>
      <c r="L111" s="160"/>
      <c r="M111" s="160"/>
      <c r="N111" s="160"/>
      <c r="O111" s="160"/>
      <c r="P111" s="160"/>
      <c r="Q111" s="160"/>
      <c r="R111" s="16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03" t="s">
        <v>94</v>
      </c>
      <c r="AU111" s="148"/>
      <c r="AV111" s="148"/>
      <c r="AW111" s="148"/>
      <c r="AX111" s="148"/>
      <c r="AY111" s="149"/>
      <c r="AZ111" s="164">
        <v>114346</v>
      </c>
      <c r="BA111" s="191"/>
      <c r="BB111" s="299">
        <f>AZ111*BB58</f>
        <v>387456.44338951074</v>
      </c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</row>
    <row r="112" spans="1:68" ht="12.75">
      <c r="A112" s="143" t="s">
        <v>221</v>
      </c>
      <c r="B112" s="143" t="s">
        <v>224</v>
      </c>
      <c r="C112" s="197"/>
      <c r="D112" s="171"/>
      <c r="E112" s="171"/>
      <c r="F112" s="175"/>
      <c r="G112" s="171"/>
      <c r="H112" s="171"/>
      <c r="I112" s="171"/>
      <c r="J112" s="160"/>
      <c r="K112" s="160"/>
      <c r="L112" s="160"/>
      <c r="M112" s="160"/>
      <c r="N112" s="160"/>
      <c r="O112" s="160"/>
      <c r="P112" s="160"/>
      <c r="Q112" s="160"/>
      <c r="R112" s="16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273" t="s">
        <v>392</v>
      </c>
      <c r="AU112" s="150"/>
      <c r="AV112" s="150"/>
      <c r="AW112" s="150"/>
      <c r="AX112" s="150"/>
      <c r="AY112" s="151"/>
      <c r="AZ112" s="235">
        <v>21500</v>
      </c>
      <c r="BA112" s="199"/>
      <c r="BB112" s="299">
        <f>AZ112*BB58</f>
        <v>72851.81408072411</v>
      </c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</row>
    <row r="113" spans="1:68" ht="12.75">
      <c r="A113" s="144"/>
      <c r="B113" s="144" t="s">
        <v>222</v>
      </c>
      <c r="C113" s="198">
        <v>109056121</v>
      </c>
      <c r="D113" s="323">
        <v>6325.0075</v>
      </c>
      <c r="E113" s="323">
        <v>6351.9541</v>
      </c>
      <c r="F113" s="164">
        <v>4800</v>
      </c>
      <c r="G113" s="324">
        <f aca="true" t="shared" si="2" ref="G113:G132">E113-D113</f>
        <v>26.946600000000217</v>
      </c>
      <c r="H113" s="164"/>
      <c r="I113" s="164">
        <f>F113*G113+H113</f>
        <v>129343.68000000104</v>
      </c>
      <c r="J113" s="160"/>
      <c r="K113" s="160"/>
      <c r="L113" s="160"/>
      <c r="M113" s="160"/>
      <c r="N113" s="160"/>
      <c r="O113" s="160"/>
      <c r="P113" s="160"/>
      <c r="Q113" s="160"/>
      <c r="R113" s="16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273" t="s">
        <v>154</v>
      </c>
      <c r="AU113" s="150"/>
      <c r="AV113" s="150"/>
      <c r="AW113" s="150"/>
      <c r="AX113" s="150"/>
      <c r="AY113" s="151"/>
      <c r="AZ113" s="235">
        <v>23372</v>
      </c>
      <c r="BA113" s="199"/>
      <c r="BB113" s="299">
        <f>AZ113*BB58</f>
        <v>79195.00459045042</v>
      </c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</row>
    <row r="114" spans="1:68" ht="12.75">
      <c r="A114" s="143" t="s">
        <v>223</v>
      </c>
      <c r="B114" s="143" t="s">
        <v>235</v>
      </c>
      <c r="C114" s="197">
        <v>623125232</v>
      </c>
      <c r="D114" s="325">
        <v>2870.5851</v>
      </c>
      <c r="E114" s="325">
        <v>2905.6844</v>
      </c>
      <c r="F114" s="175">
        <v>1800</v>
      </c>
      <c r="G114" s="326">
        <f t="shared" si="2"/>
        <v>35.09930000000031</v>
      </c>
      <c r="H114" s="171"/>
      <c r="I114" s="175">
        <f>G114*F114</f>
        <v>63178.74000000056</v>
      </c>
      <c r="J114" s="160"/>
      <c r="K114" s="160"/>
      <c r="L114" s="160"/>
      <c r="M114" s="160"/>
      <c r="N114" s="160"/>
      <c r="O114" s="160"/>
      <c r="P114" s="160"/>
      <c r="Q114" s="160"/>
      <c r="R114" s="16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273" t="s">
        <v>362</v>
      </c>
      <c r="AU114" s="150"/>
      <c r="AV114" s="150"/>
      <c r="AW114" s="150"/>
      <c r="AX114" s="150"/>
      <c r="AY114" s="151"/>
      <c r="AZ114" s="235">
        <v>12872</v>
      </c>
      <c r="BA114" s="199"/>
      <c r="BB114" s="299">
        <f>AZ114*BB58</f>
        <v>43616.21166730609</v>
      </c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</row>
    <row r="115" spans="1:68" ht="12.75">
      <c r="A115" s="144"/>
      <c r="B115" s="144" t="s">
        <v>222</v>
      </c>
      <c r="C115" s="169"/>
      <c r="D115" s="228"/>
      <c r="E115" s="228"/>
      <c r="F115" s="164"/>
      <c r="G115" s="227"/>
      <c r="H115" s="169"/>
      <c r="I115" s="164"/>
      <c r="J115" s="160"/>
      <c r="K115" s="160"/>
      <c r="L115" s="160"/>
      <c r="M115" s="160"/>
      <c r="N115" s="160"/>
      <c r="O115" s="160"/>
      <c r="P115" s="160"/>
      <c r="Q115" s="160"/>
      <c r="R115" s="16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273" t="s">
        <v>297</v>
      </c>
      <c r="AU115" s="150"/>
      <c r="AV115" s="150"/>
      <c r="AW115" s="150"/>
      <c r="AX115" s="150"/>
      <c r="AY115" s="151"/>
      <c r="AZ115" s="235">
        <v>2532</v>
      </c>
      <c r="BA115" s="199"/>
      <c r="BB115" s="299">
        <f>AZ115*BB58</f>
        <v>8579.571779181091</v>
      </c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</row>
    <row r="116" spans="1:68" ht="12.75">
      <c r="A116" s="143" t="s">
        <v>225</v>
      </c>
      <c r="B116" s="143" t="s">
        <v>236</v>
      </c>
      <c r="C116" s="197">
        <v>623125667</v>
      </c>
      <c r="D116" s="325">
        <v>3241.6483</v>
      </c>
      <c r="E116" s="325">
        <v>3287.976</v>
      </c>
      <c r="F116" s="175">
        <v>1800</v>
      </c>
      <c r="G116" s="326">
        <f t="shared" si="2"/>
        <v>46.32770000000028</v>
      </c>
      <c r="H116" s="171"/>
      <c r="I116" s="175">
        <f>G116*F116</f>
        <v>83389.8600000005</v>
      </c>
      <c r="J116" s="160"/>
      <c r="K116" s="160"/>
      <c r="L116" s="160"/>
      <c r="M116" s="160"/>
      <c r="N116" s="160"/>
      <c r="O116" s="160"/>
      <c r="P116" s="160"/>
      <c r="Q116" s="160"/>
      <c r="R116" s="16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273" t="s">
        <v>6</v>
      </c>
      <c r="AU116" s="150"/>
      <c r="AV116" s="150"/>
      <c r="AW116" s="150"/>
      <c r="AX116" s="150"/>
      <c r="AY116" s="151"/>
      <c r="AZ116" s="235">
        <v>30000</v>
      </c>
      <c r="BA116" s="199"/>
      <c r="BB116" s="299">
        <f>AZ116*BB58</f>
        <v>101653.69406612669</v>
      </c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</row>
    <row r="117" spans="1:68" ht="12.75">
      <c r="A117" s="144"/>
      <c r="B117" s="144" t="s">
        <v>222</v>
      </c>
      <c r="C117" s="169"/>
      <c r="D117" s="228"/>
      <c r="E117" s="228"/>
      <c r="F117" s="164"/>
      <c r="G117" s="227"/>
      <c r="H117" s="169"/>
      <c r="I117" s="164"/>
      <c r="J117" s="160"/>
      <c r="K117" s="160"/>
      <c r="L117" s="160"/>
      <c r="M117" s="160"/>
      <c r="N117" s="160"/>
      <c r="O117" s="160"/>
      <c r="P117" s="160"/>
      <c r="Q117" s="160"/>
      <c r="R117" s="16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273" t="s">
        <v>21</v>
      </c>
      <c r="AU117" s="214"/>
      <c r="AV117" s="150"/>
      <c r="AW117" s="150"/>
      <c r="AX117" s="150"/>
      <c r="AY117" s="151"/>
      <c r="AZ117" s="235">
        <v>8200</v>
      </c>
      <c r="BA117" s="199"/>
      <c r="BB117" s="299">
        <f>AZ117*BB58</f>
        <v>27785.343044741294</v>
      </c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</row>
    <row r="118" spans="1:68" ht="12.75">
      <c r="A118" s="143" t="s">
        <v>226</v>
      </c>
      <c r="B118" s="143" t="s">
        <v>237</v>
      </c>
      <c r="C118" s="197">
        <v>623126370</v>
      </c>
      <c r="D118" s="325">
        <v>661.0295</v>
      </c>
      <c r="E118" s="325">
        <v>665.4768</v>
      </c>
      <c r="F118" s="175">
        <v>4800</v>
      </c>
      <c r="G118" s="326">
        <f t="shared" si="2"/>
        <v>4.447300000000041</v>
      </c>
      <c r="H118" s="171"/>
      <c r="I118" s="175">
        <f>G118*F118</f>
        <v>21347.040000000197</v>
      </c>
      <c r="J118" s="160"/>
      <c r="K118" s="160"/>
      <c r="L118" s="160"/>
      <c r="M118" s="160"/>
      <c r="N118" s="160"/>
      <c r="O118" s="160"/>
      <c r="P118" s="160"/>
      <c r="Q118" s="160"/>
      <c r="R118" s="16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273" t="s">
        <v>388</v>
      </c>
      <c r="AU118" s="214"/>
      <c r="AV118" s="150"/>
      <c r="AW118" s="150"/>
      <c r="AX118" s="150"/>
      <c r="AY118" s="151"/>
      <c r="AZ118" s="235">
        <v>50</v>
      </c>
      <c r="BA118" s="199"/>
      <c r="BB118" s="299">
        <f>AZ118*BB58</f>
        <v>169.42282344354447</v>
      </c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</row>
    <row r="119" spans="1:68" ht="12.75">
      <c r="A119" s="144"/>
      <c r="B119" s="144" t="s">
        <v>222</v>
      </c>
      <c r="C119" s="169"/>
      <c r="D119" s="228"/>
      <c r="E119" s="228"/>
      <c r="F119" s="164"/>
      <c r="G119" s="227"/>
      <c r="H119" s="169"/>
      <c r="I119" s="164"/>
      <c r="J119" s="160"/>
      <c r="K119" s="160"/>
      <c r="L119" s="160"/>
      <c r="M119" s="160"/>
      <c r="N119" s="160"/>
      <c r="O119" s="160"/>
      <c r="P119" s="160"/>
      <c r="Q119" s="160"/>
      <c r="R119" s="16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273" t="s">
        <v>365</v>
      </c>
      <c r="AU119" s="214"/>
      <c r="AV119" s="150"/>
      <c r="AW119" s="150"/>
      <c r="AX119" s="150"/>
      <c r="AY119" s="151"/>
      <c r="AZ119" s="235">
        <v>70080</v>
      </c>
      <c r="BA119" s="199"/>
      <c r="BB119" s="299">
        <f>AZ119*BB58</f>
        <v>237463.02933847194</v>
      </c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</row>
    <row r="120" spans="1:68" ht="12.75">
      <c r="A120" s="143" t="s">
        <v>227</v>
      </c>
      <c r="B120" s="143" t="s">
        <v>238</v>
      </c>
      <c r="C120" s="197">
        <v>623125137</v>
      </c>
      <c r="D120" s="325">
        <v>647.6172</v>
      </c>
      <c r="E120" s="325">
        <v>658.968</v>
      </c>
      <c r="F120" s="175">
        <v>4800</v>
      </c>
      <c r="G120" s="326">
        <f t="shared" si="2"/>
        <v>11.350799999999936</v>
      </c>
      <c r="H120" s="171"/>
      <c r="I120" s="175">
        <f>G120*F120</f>
        <v>54483.83999999969</v>
      </c>
      <c r="J120" s="160"/>
      <c r="K120" s="160"/>
      <c r="L120" s="160"/>
      <c r="M120" s="160"/>
      <c r="N120" s="160"/>
      <c r="O120" s="160"/>
      <c r="P120" s="160"/>
      <c r="Q120" s="160"/>
      <c r="R120" s="16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273"/>
      <c r="AU120" s="214"/>
      <c r="AV120" s="150"/>
      <c r="AW120" s="150"/>
      <c r="AX120" s="150"/>
      <c r="AY120" s="151"/>
      <c r="AZ120" s="235"/>
      <c r="BA120" s="199"/>
      <c r="BB120" s="299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</row>
    <row r="121" spans="1:68" ht="12.75">
      <c r="A121" s="144"/>
      <c r="B121" s="144" t="s">
        <v>222</v>
      </c>
      <c r="C121" s="169"/>
      <c r="D121" s="228"/>
      <c r="E121" s="228"/>
      <c r="F121" s="164"/>
      <c r="G121" s="227"/>
      <c r="H121" s="169"/>
      <c r="I121" s="164"/>
      <c r="J121" s="160"/>
      <c r="K121" s="160"/>
      <c r="L121" s="160"/>
      <c r="M121" s="160"/>
      <c r="N121" s="160"/>
      <c r="O121" s="160"/>
      <c r="P121" s="160"/>
      <c r="Q121" s="160"/>
      <c r="R121" s="16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02"/>
      <c r="AU121" s="150"/>
      <c r="AV121" s="150"/>
      <c r="AW121" s="150"/>
      <c r="AX121" s="150"/>
      <c r="AY121" s="151"/>
      <c r="AZ121" s="235"/>
      <c r="BA121" s="199"/>
      <c r="BB121" s="299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</row>
    <row r="122" spans="1:68" ht="12.75">
      <c r="A122" s="143" t="s">
        <v>228</v>
      </c>
      <c r="B122" s="143" t="s">
        <v>239</v>
      </c>
      <c r="C122" s="197">
        <v>623125142</v>
      </c>
      <c r="D122" s="325">
        <v>2278.2029</v>
      </c>
      <c r="E122" s="325">
        <v>2312.2687</v>
      </c>
      <c r="F122" s="175">
        <v>2400</v>
      </c>
      <c r="G122" s="326">
        <f t="shared" si="2"/>
        <v>34.065799999999854</v>
      </c>
      <c r="H122" s="171"/>
      <c r="I122" s="175">
        <f>G122*F122</f>
        <v>81757.91999999965</v>
      </c>
      <c r="J122" s="160"/>
      <c r="K122" s="160"/>
      <c r="L122" s="160"/>
      <c r="M122" s="160"/>
      <c r="N122" s="160"/>
      <c r="O122" s="160"/>
      <c r="P122" s="160"/>
      <c r="Q122" s="160"/>
      <c r="R122" s="16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02"/>
      <c r="AU122" s="150"/>
      <c r="AV122" s="150"/>
      <c r="AW122" s="150"/>
      <c r="AX122" s="150"/>
      <c r="AY122" s="151"/>
      <c r="AZ122" s="235"/>
      <c r="BA122" s="199"/>
      <c r="BB122" s="299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</row>
    <row r="123" spans="1:68" ht="12.75">
      <c r="A123" s="144"/>
      <c r="B123" s="144" t="s">
        <v>222</v>
      </c>
      <c r="C123" s="169"/>
      <c r="D123" s="228"/>
      <c r="E123" s="228"/>
      <c r="F123" s="164"/>
      <c r="G123" s="227"/>
      <c r="H123" s="169"/>
      <c r="I123" s="164"/>
      <c r="J123" s="160"/>
      <c r="K123" s="160"/>
      <c r="L123" s="160"/>
      <c r="M123" s="160"/>
      <c r="N123" s="160"/>
      <c r="O123" s="160"/>
      <c r="P123" s="160"/>
      <c r="Q123" s="160"/>
      <c r="R123" s="16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02"/>
      <c r="AU123" s="150"/>
      <c r="AV123" s="150"/>
      <c r="AW123" s="150"/>
      <c r="AX123" s="150"/>
      <c r="AY123" s="151"/>
      <c r="AZ123" s="235"/>
      <c r="BA123" s="199"/>
      <c r="BB123" s="299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</row>
    <row r="124" spans="1:68" ht="12.75">
      <c r="A124" s="143" t="s">
        <v>229</v>
      </c>
      <c r="B124" s="143" t="s">
        <v>240</v>
      </c>
      <c r="C124" s="197">
        <v>623125205</v>
      </c>
      <c r="D124" s="325">
        <v>1642.0641</v>
      </c>
      <c r="E124" s="325">
        <v>1682.2203</v>
      </c>
      <c r="F124" s="175">
        <v>1800</v>
      </c>
      <c r="G124" s="326">
        <f t="shared" si="2"/>
        <v>40.1561999999999</v>
      </c>
      <c r="H124" s="171"/>
      <c r="I124" s="175">
        <f>G124*F124</f>
        <v>72281.15999999981</v>
      </c>
      <c r="J124" s="160"/>
      <c r="K124" s="160"/>
      <c r="L124" s="160"/>
      <c r="M124" s="160"/>
      <c r="N124" s="160"/>
      <c r="O124" s="160"/>
      <c r="P124" s="160"/>
      <c r="Q124" s="160"/>
      <c r="R124" s="16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02"/>
      <c r="AU124" s="150"/>
      <c r="AV124" s="150"/>
      <c r="AW124" s="150"/>
      <c r="AX124" s="150"/>
      <c r="AY124" s="151"/>
      <c r="AZ124" s="235"/>
      <c r="BA124" s="199"/>
      <c r="BB124" s="299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</row>
    <row r="125" spans="1:68" ht="12.75">
      <c r="A125" s="144"/>
      <c r="B125" s="144" t="s">
        <v>222</v>
      </c>
      <c r="C125" s="169"/>
      <c r="D125" s="228"/>
      <c r="E125" s="228"/>
      <c r="F125" s="164"/>
      <c r="G125" s="227"/>
      <c r="H125" s="169"/>
      <c r="I125" s="164"/>
      <c r="J125" s="160"/>
      <c r="K125" s="160"/>
      <c r="L125" s="160"/>
      <c r="M125" s="160"/>
      <c r="N125" s="160"/>
      <c r="O125" s="160"/>
      <c r="P125" s="160"/>
      <c r="Q125" s="160"/>
      <c r="R125" s="16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02"/>
      <c r="AU125" s="150"/>
      <c r="AV125" s="150"/>
      <c r="AW125" s="150"/>
      <c r="AX125" s="150"/>
      <c r="AY125" s="151"/>
      <c r="AZ125" s="235"/>
      <c r="BA125" s="199"/>
      <c r="BB125" s="299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</row>
    <row r="126" spans="1:68" ht="12.75">
      <c r="A126" s="143" t="s">
        <v>230</v>
      </c>
      <c r="B126" s="143" t="s">
        <v>241</v>
      </c>
      <c r="C126" s="197">
        <v>623123704</v>
      </c>
      <c r="D126" s="325">
        <v>2097.603</v>
      </c>
      <c r="E126" s="325">
        <v>2143.6575</v>
      </c>
      <c r="F126" s="175">
        <v>1800</v>
      </c>
      <c r="G126" s="326">
        <f t="shared" si="2"/>
        <v>46.054499999999734</v>
      </c>
      <c r="H126" s="171"/>
      <c r="I126" s="175">
        <f>G126*F126</f>
        <v>82898.09999999953</v>
      </c>
      <c r="J126" s="160"/>
      <c r="K126" s="160"/>
      <c r="L126" s="160"/>
      <c r="M126" s="160"/>
      <c r="N126" s="160"/>
      <c r="O126" s="160"/>
      <c r="P126" s="160"/>
      <c r="Q126" s="160"/>
      <c r="R126" s="16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02"/>
      <c r="AU126" s="150"/>
      <c r="AV126" s="219"/>
      <c r="AW126" s="219"/>
      <c r="AX126" s="150"/>
      <c r="AY126" s="151"/>
      <c r="AZ126" s="235"/>
      <c r="BA126" s="199"/>
      <c r="BB126" s="299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</row>
    <row r="127" spans="1:68" ht="12.75">
      <c r="A127" s="144"/>
      <c r="B127" s="144" t="s">
        <v>222</v>
      </c>
      <c r="C127" s="169"/>
      <c r="D127" s="228"/>
      <c r="E127" s="228"/>
      <c r="F127" s="164"/>
      <c r="G127" s="227"/>
      <c r="H127" s="169"/>
      <c r="I127" s="164"/>
      <c r="J127" s="160"/>
      <c r="K127" s="160"/>
      <c r="L127" s="160"/>
      <c r="M127" s="160"/>
      <c r="N127" s="160"/>
      <c r="O127" s="160"/>
      <c r="P127" s="160"/>
      <c r="Q127" s="160"/>
      <c r="R127" s="16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60"/>
      <c r="AU127" s="120"/>
      <c r="AV127" s="120"/>
      <c r="AW127" s="120"/>
      <c r="AX127" s="120"/>
      <c r="AY127" s="120"/>
      <c r="AZ127" s="274"/>
      <c r="BA127" s="120"/>
      <c r="BB127" s="120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</row>
    <row r="128" spans="1:68" ht="12.75">
      <c r="A128" s="143" t="s">
        <v>231</v>
      </c>
      <c r="B128" s="143" t="s">
        <v>242</v>
      </c>
      <c r="C128" s="197">
        <v>623125794</v>
      </c>
      <c r="D128" s="325">
        <v>60.0814</v>
      </c>
      <c r="E128" s="325">
        <v>62.1102</v>
      </c>
      <c r="F128" s="175">
        <v>1800</v>
      </c>
      <c r="G128" s="326">
        <f>E128-D128</f>
        <v>2.028799999999997</v>
      </c>
      <c r="H128" s="171"/>
      <c r="I128" s="175">
        <f>G128*F128</f>
        <v>3651.8399999999942</v>
      </c>
      <c r="J128" s="160"/>
      <c r="K128" s="160"/>
      <c r="L128" s="160"/>
      <c r="M128" s="160"/>
      <c r="N128" s="160"/>
      <c r="O128" s="160"/>
      <c r="P128" s="160"/>
      <c r="Q128" s="160"/>
      <c r="R128" s="16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60"/>
      <c r="AU128" s="120"/>
      <c r="AV128" s="120"/>
      <c r="AW128" s="120"/>
      <c r="AX128" s="120"/>
      <c r="AY128" s="120"/>
      <c r="AZ128" s="274"/>
      <c r="BA128" s="120"/>
      <c r="BB128" s="120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</row>
    <row r="129" spans="1:68" ht="12.75">
      <c r="A129" s="144"/>
      <c r="B129" s="144" t="s">
        <v>222</v>
      </c>
      <c r="C129" s="169"/>
      <c r="D129" s="228"/>
      <c r="E129" s="228"/>
      <c r="F129" s="164"/>
      <c r="G129" s="227"/>
      <c r="H129" s="169"/>
      <c r="I129" s="164"/>
      <c r="J129" s="160"/>
      <c r="K129" s="160"/>
      <c r="L129" s="160"/>
      <c r="M129" s="160"/>
      <c r="N129" s="160"/>
      <c r="O129" s="160"/>
      <c r="P129" s="160"/>
      <c r="Q129" s="160"/>
      <c r="R129" s="16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60"/>
      <c r="AU129" s="120"/>
      <c r="AV129" s="120"/>
      <c r="AW129" s="120"/>
      <c r="AX129" s="120"/>
      <c r="AY129" s="120"/>
      <c r="AZ129" s="274"/>
      <c r="BA129" s="120"/>
      <c r="BB129" s="120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</row>
    <row r="130" spans="1:68" ht="12.75">
      <c r="A130" s="143" t="s">
        <v>232</v>
      </c>
      <c r="B130" s="143" t="s">
        <v>243</v>
      </c>
      <c r="C130" s="197">
        <v>623125736</v>
      </c>
      <c r="D130" s="325">
        <v>2712.9174</v>
      </c>
      <c r="E130" s="325">
        <v>2754.9826</v>
      </c>
      <c r="F130" s="175">
        <v>1200</v>
      </c>
      <c r="G130" s="326">
        <f t="shared" si="2"/>
        <v>42.065200000000004</v>
      </c>
      <c r="H130" s="171"/>
      <c r="I130" s="175">
        <f>G130*F130</f>
        <v>50478.240000000005</v>
      </c>
      <c r="J130" s="160"/>
      <c r="K130" s="160"/>
      <c r="L130" s="160"/>
      <c r="M130" s="160"/>
      <c r="N130" s="160"/>
      <c r="O130" s="160"/>
      <c r="P130" s="160"/>
      <c r="Q130" s="160"/>
      <c r="R130" s="16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60"/>
      <c r="AU130" s="120"/>
      <c r="AV130" s="120"/>
      <c r="AW130" s="120"/>
      <c r="AX130" s="120"/>
      <c r="AY130" s="120"/>
      <c r="AZ130" s="274"/>
      <c r="BA130" s="120"/>
      <c r="BB130" s="120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</row>
    <row r="131" spans="1:68" ht="12.75">
      <c r="A131" s="144"/>
      <c r="B131" s="144" t="s">
        <v>222</v>
      </c>
      <c r="C131" s="168"/>
      <c r="D131" s="228"/>
      <c r="E131" s="228"/>
      <c r="F131" s="164"/>
      <c r="G131" s="227"/>
      <c r="H131" s="169"/>
      <c r="I131" s="164"/>
      <c r="J131" s="160"/>
      <c r="K131" s="160"/>
      <c r="L131" s="160"/>
      <c r="M131" s="160"/>
      <c r="N131" s="160"/>
      <c r="O131" s="160"/>
      <c r="P131" s="160"/>
      <c r="Q131" s="160"/>
      <c r="R131" s="16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60"/>
      <c r="AU131" s="120" t="s">
        <v>9</v>
      </c>
      <c r="AV131" s="120"/>
      <c r="AW131" s="120"/>
      <c r="AX131" s="120"/>
      <c r="AY131" s="120"/>
      <c r="AZ131" s="301">
        <f>AZ9</f>
        <v>5538642</v>
      </c>
      <c r="BA131" s="120"/>
      <c r="BB131" s="275">
        <f>SUM(BB93:BB96)+BB103+BB109+SUM(BB112:BB126)</f>
        <v>18767447.31366</v>
      </c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</row>
    <row r="132" spans="1:68" ht="12.75">
      <c r="A132" s="143" t="s">
        <v>233</v>
      </c>
      <c r="B132" s="145" t="s">
        <v>234</v>
      </c>
      <c r="C132" s="197">
        <v>1110171156</v>
      </c>
      <c r="D132" s="325">
        <v>918.3632</v>
      </c>
      <c r="E132" s="325">
        <v>981.4884</v>
      </c>
      <c r="F132" s="175">
        <v>40</v>
      </c>
      <c r="G132" s="326">
        <f t="shared" si="2"/>
        <v>63.12519999999995</v>
      </c>
      <c r="H132" s="171"/>
      <c r="I132" s="175">
        <f>G132*F132</f>
        <v>2525.007999999998</v>
      </c>
      <c r="J132" s="160"/>
      <c r="K132" s="160"/>
      <c r="L132" s="160"/>
      <c r="M132" s="160"/>
      <c r="N132" s="160"/>
      <c r="O132" s="160"/>
      <c r="P132" s="160"/>
      <c r="Q132" s="160"/>
      <c r="R132" s="16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60"/>
      <c r="AU132" s="120"/>
      <c r="AV132" s="120"/>
      <c r="AW132" s="120"/>
      <c r="AX132" s="120"/>
      <c r="AY132" s="120"/>
      <c r="AZ132" s="274"/>
      <c r="BA132" s="120"/>
      <c r="BB132" s="120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</row>
    <row r="133" spans="1:68" ht="12.75">
      <c r="A133" s="144"/>
      <c r="B133" s="103" t="s">
        <v>222</v>
      </c>
      <c r="C133" s="169"/>
      <c r="D133" s="379"/>
      <c r="E133" s="228"/>
      <c r="F133" s="164"/>
      <c r="G133" s="229"/>
      <c r="H133" s="169"/>
      <c r="I133" s="164"/>
      <c r="J133" s="160"/>
      <c r="K133" s="160"/>
      <c r="L133" s="160"/>
      <c r="M133" s="160"/>
      <c r="N133" s="160"/>
      <c r="O133" s="160"/>
      <c r="P133" s="160"/>
      <c r="Q133" s="160"/>
      <c r="R133" s="16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60"/>
      <c r="AU133" s="120"/>
      <c r="AV133" s="120"/>
      <c r="AW133" s="120"/>
      <c r="AX133" s="120"/>
      <c r="AY133" s="120"/>
      <c r="AZ133" s="120"/>
      <c r="BA133" s="120"/>
      <c r="BB133" s="120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</row>
    <row r="134" spans="1:68" ht="12.75">
      <c r="A134" s="201"/>
      <c r="B134" s="150"/>
      <c r="C134" s="191"/>
      <c r="D134" s="199"/>
      <c r="E134" s="200"/>
      <c r="F134" s="200"/>
      <c r="G134" s="215" t="s">
        <v>244</v>
      </c>
      <c r="H134" s="151"/>
      <c r="I134" s="235">
        <f>SUM(I112:I133)+I107</f>
        <v>1775364.3280000095</v>
      </c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60" t="s">
        <v>562</v>
      </c>
      <c r="AU134" s="120"/>
      <c r="AV134" s="120"/>
      <c r="AW134" s="120"/>
      <c r="AX134" s="120"/>
      <c r="AY134" s="120"/>
      <c r="AZ134" s="120"/>
      <c r="BA134" s="120"/>
      <c r="BB134" s="120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</row>
    <row r="135" spans="1:68" ht="12.75">
      <c r="A135" s="143" t="s">
        <v>247</v>
      </c>
      <c r="B135" s="145" t="s">
        <v>245</v>
      </c>
      <c r="C135" s="202"/>
      <c r="D135" s="202"/>
      <c r="E135" s="203"/>
      <c r="F135" s="203"/>
      <c r="G135" s="204"/>
      <c r="H135" s="146"/>
      <c r="I135" s="205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60"/>
      <c r="AU135" s="120"/>
      <c r="AV135" s="120"/>
      <c r="AW135" s="120"/>
      <c r="AX135" s="120"/>
      <c r="AY135" s="120"/>
      <c r="AZ135" s="120"/>
      <c r="BA135" s="120"/>
      <c r="BB135" s="120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</row>
    <row r="136" spans="1:68" ht="12.75">
      <c r="A136" s="173"/>
      <c r="B136" s="159" t="s">
        <v>246</v>
      </c>
      <c r="C136" s="206"/>
      <c r="D136" s="191"/>
      <c r="E136" s="207"/>
      <c r="F136" s="207"/>
      <c r="G136" s="208"/>
      <c r="H136" s="148"/>
      <c r="I136" s="209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60" t="s">
        <v>143</v>
      </c>
      <c r="AU136" s="120"/>
      <c r="AV136" s="120"/>
      <c r="AW136" s="120"/>
      <c r="AX136" s="120"/>
      <c r="AY136" s="120"/>
      <c r="AZ136" s="120"/>
      <c r="BA136" s="120"/>
      <c r="BB136" s="120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</row>
    <row r="137" spans="1:68" ht="12.75">
      <c r="A137" s="145" t="s">
        <v>248</v>
      </c>
      <c r="B137" s="143" t="s">
        <v>489</v>
      </c>
      <c r="C137" s="304"/>
      <c r="D137" s="211"/>
      <c r="E137" s="211"/>
      <c r="F137" s="155"/>
      <c r="G137" s="212"/>
      <c r="H137" s="152"/>
      <c r="I137" s="155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60"/>
      <c r="AU137" s="120"/>
      <c r="AV137" s="120"/>
      <c r="AW137" s="120"/>
      <c r="AX137" s="120"/>
      <c r="AY137" s="120"/>
      <c r="AZ137" s="120"/>
      <c r="BA137" s="120"/>
      <c r="BB137" s="120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</row>
    <row r="138" spans="1:68" ht="12.75">
      <c r="A138" s="159"/>
      <c r="B138" s="173"/>
      <c r="C138" s="305">
        <v>611127627</v>
      </c>
      <c r="D138" s="302">
        <v>2280.3388</v>
      </c>
      <c r="E138" s="302">
        <v>2285.3064</v>
      </c>
      <c r="F138" s="155">
        <v>40</v>
      </c>
      <c r="G138" s="252">
        <f>E138-D138</f>
        <v>4.967599999999948</v>
      </c>
      <c r="H138" s="155"/>
      <c r="I138" s="155">
        <f>ROUND(F138*G138+H138,0)</f>
        <v>199</v>
      </c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60"/>
      <c r="AU138" s="120"/>
      <c r="AV138" s="120"/>
      <c r="AW138" s="120"/>
      <c r="AX138" s="120"/>
      <c r="AY138" s="120"/>
      <c r="AZ138" s="120"/>
      <c r="BA138" s="120"/>
      <c r="BB138" s="120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</row>
    <row r="139" spans="1:68" ht="12.75">
      <c r="A139" s="159"/>
      <c r="B139" s="144" t="s">
        <v>467</v>
      </c>
      <c r="C139" s="305"/>
      <c r="D139" s="306"/>
      <c r="E139" s="306"/>
      <c r="F139" s="155"/>
      <c r="G139" s="212"/>
      <c r="H139" s="155"/>
      <c r="I139" s="155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</row>
    <row r="140" spans="1:68" ht="12.75">
      <c r="A140" s="143" t="s">
        <v>251</v>
      </c>
      <c r="B140" s="161"/>
      <c r="C140" s="213">
        <v>810120245</v>
      </c>
      <c r="D140" s="302">
        <v>1280.0266</v>
      </c>
      <c r="E140" s="302">
        <v>1280.3229</v>
      </c>
      <c r="F140" s="155">
        <v>3600</v>
      </c>
      <c r="G140" s="252">
        <f aca="true" t="shared" si="3" ref="G140:G145">E140-D140</f>
        <v>0.2962999999999738</v>
      </c>
      <c r="H140" s="155"/>
      <c r="I140" s="155">
        <f aca="true" t="shared" si="4" ref="I140:I145">ROUND(F140*G140+H140,0)</f>
        <v>1067</v>
      </c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</row>
    <row r="141" spans="1:68" ht="12.75">
      <c r="A141" s="173"/>
      <c r="B141" s="161" t="s">
        <v>495</v>
      </c>
      <c r="C141" s="213"/>
      <c r="D141" s="302"/>
      <c r="E141" s="302"/>
      <c r="F141" s="155"/>
      <c r="G141" s="252"/>
      <c r="H141" s="96"/>
      <c r="I141" s="155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</row>
    <row r="142" spans="1:68" ht="12.75">
      <c r="A142" s="173"/>
      <c r="B142" s="161"/>
      <c r="C142" s="210">
        <v>4050284</v>
      </c>
      <c r="D142" s="230">
        <v>4110.54</v>
      </c>
      <c r="E142" s="230">
        <v>4132.5133</v>
      </c>
      <c r="F142" s="155">
        <v>3600</v>
      </c>
      <c r="G142" s="253">
        <f t="shared" si="3"/>
        <v>21.973299999999654</v>
      </c>
      <c r="H142" s="96"/>
      <c r="I142" s="155">
        <f t="shared" si="4"/>
        <v>79104</v>
      </c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</row>
    <row r="143" spans="1:68" ht="12.75">
      <c r="A143" s="144"/>
      <c r="B143" s="149"/>
      <c r="C143" s="210"/>
      <c r="D143" s="230"/>
      <c r="E143" s="230"/>
      <c r="F143" s="155"/>
      <c r="G143" s="253"/>
      <c r="H143" s="96"/>
      <c r="I143" s="155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</row>
    <row r="144" spans="1:68" ht="12.75">
      <c r="A144" s="173" t="s">
        <v>252</v>
      </c>
      <c r="B144" s="143" t="s">
        <v>218</v>
      </c>
      <c r="C144" s="152"/>
      <c r="D144" s="211"/>
      <c r="E144" s="211"/>
      <c r="F144" s="155"/>
      <c r="G144" s="212"/>
      <c r="H144" s="96"/>
      <c r="I144" s="155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</row>
    <row r="145" spans="1:68" ht="12.75">
      <c r="A145" s="307"/>
      <c r="B145" s="173" t="s">
        <v>217</v>
      </c>
      <c r="C145" s="305">
        <v>611127492</v>
      </c>
      <c r="D145" s="302">
        <v>5501.2228</v>
      </c>
      <c r="E145" s="302">
        <v>5568.2376</v>
      </c>
      <c r="F145" s="155">
        <v>20</v>
      </c>
      <c r="G145" s="252">
        <f t="shared" si="3"/>
        <v>67.01480000000083</v>
      </c>
      <c r="H145" s="155"/>
      <c r="I145" s="155">
        <f t="shared" si="4"/>
        <v>1340</v>
      </c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</row>
    <row r="146" spans="1:68" ht="12.75">
      <c r="A146" s="145" t="s">
        <v>253</v>
      </c>
      <c r="B146" s="143" t="s">
        <v>490</v>
      </c>
      <c r="C146" s="309"/>
      <c r="D146" s="211"/>
      <c r="E146" s="211"/>
      <c r="F146" s="155"/>
      <c r="G146" s="212"/>
      <c r="H146" s="96"/>
      <c r="I146" s="155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</row>
    <row r="147" spans="1:68" ht="12.75">
      <c r="A147" s="308"/>
      <c r="B147" s="168" t="s">
        <v>546</v>
      </c>
      <c r="C147" s="305">
        <v>611127702</v>
      </c>
      <c r="D147" s="302">
        <v>6775.4164</v>
      </c>
      <c r="E147" s="302">
        <v>6796.5944</v>
      </c>
      <c r="F147" s="155">
        <v>60</v>
      </c>
      <c r="G147" s="252">
        <f>E147-D147</f>
        <v>21.177999999999884</v>
      </c>
      <c r="H147" s="96"/>
      <c r="I147" s="155">
        <f>ROUND(F147*G147+H147,0)</f>
        <v>1271</v>
      </c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</row>
    <row r="148" spans="1:68" ht="12.75">
      <c r="A148" s="159"/>
      <c r="B148" s="168" t="s">
        <v>547</v>
      </c>
      <c r="C148" s="305">
        <v>611127555</v>
      </c>
      <c r="D148" s="302">
        <v>931.3424</v>
      </c>
      <c r="E148" s="302">
        <v>1036.5104</v>
      </c>
      <c r="F148" s="155">
        <v>60</v>
      </c>
      <c r="G148" s="252">
        <f>E148-D148</f>
        <v>105.16799999999989</v>
      </c>
      <c r="H148" s="96"/>
      <c r="I148" s="155">
        <f>ROUND(F148*G148+H148,0)</f>
        <v>6310</v>
      </c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</row>
    <row r="149" spans="1:68" ht="12.75">
      <c r="A149" s="145" t="s">
        <v>258</v>
      </c>
      <c r="B149" s="143" t="s">
        <v>491</v>
      </c>
      <c r="C149" s="310"/>
      <c r="D149" s="232"/>
      <c r="E149" s="232"/>
      <c r="F149" s="155"/>
      <c r="G149" s="212"/>
      <c r="H149" s="96"/>
      <c r="I149" s="155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</row>
    <row r="150" spans="1:68" ht="12.75">
      <c r="A150" s="308"/>
      <c r="B150" s="173"/>
      <c r="C150" s="305">
        <v>1110171163</v>
      </c>
      <c r="D150" s="230">
        <v>182.6368</v>
      </c>
      <c r="E150" s="230">
        <v>187.3024</v>
      </c>
      <c r="F150" s="155">
        <v>60</v>
      </c>
      <c r="G150" s="252">
        <f>E150-D150</f>
        <v>4.665600000000012</v>
      </c>
      <c r="H150" s="96"/>
      <c r="I150" s="155">
        <f>ROUND(F150*G150+H150,0)</f>
        <v>280</v>
      </c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</row>
    <row r="151" spans="1:68" ht="12.75">
      <c r="A151" s="159"/>
      <c r="B151" s="173"/>
      <c r="C151" s="305"/>
      <c r="D151" s="211"/>
      <c r="E151" s="211"/>
      <c r="F151" s="155"/>
      <c r="G151" s="212"/>
      <c r="H151" s="96"/>
      <c r="I151" s="155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</row>
    <row r="152" spans="1:68" ht="12.75">
      <c r="A152" s="145" t="s">
        <v>260</v>
      </c>
      <c r="B152" s="143" t="s">
        <v>492</v>
      </c>
      <c r="C152" s="311"/>
      <c r="D152" s="232"/>
      <c r="E152" s="232"/>
      <c r="F152" s="155"/>
      <c r="G152" s="212"/>
      <c r="H152" s="96"/>
      <c r="I152" s="155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</row>
    <row r="153" spans="1:68" ht="12.75">
      <c r="A153" s="159"/>
      <c r="B153" s="173"/>
      <c r="C153" s="305">
        <v>1110171170</v>
      </c>
      <c r="D153" s="302">
        <v>145.8364</v>
      </c>
      <c r="E153" s="302">
        <v>150.7648</v>
      </c>
      <c r="F153" s="155">
        <v>40</v>
      </c>
      <c r="G153" s="252">
        <f>E153-D153</f>
        <v>4.9284000000000106</v>
      </c>
      <c r="H153" s="155"/>
      <c r="I153" s="155">
        <f>ROUND(F153*G153+H153,0)</f>
        <v>197</v>
      </c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</row>
    <row r="154" spans="1:68" ht="12.75">
      <c r="A154" s="159"/>
      <c r="B154" s="173"/>
      <c r="C154" s="305"/>
      <c r="D154" s="306"/>
      <c r="E154" s="306"/>
      <c r="F154" s="155"/>
      <c r="G154" s="212"/>
      <c r="H154" s="155"/>
      <c r="I154" s="155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</row>
    <row r="155" spans="1:68" ht="12.75">
      <c r="A155" s="143" t="s">
        <v>261</v>
      </c>
      <c r="B155" s="147" t="s">
        <v>541</v>
      </c>
      <c r="C155" s="305">
        <v>611126342</v>
      </c>
      <c r="D155" s="302">
        <v>6059.7548</v>
      </c>
      <c r="E155" s="302">
        <v>6059.7548</v>
      </c>
      <c r="F155" s="155">
        <v>1800</v>
      </c>
      <c r="G155" s="252">
        <f>E155-D155</f>
        <v>0</v>
      </c>
      <c r="H155" s="155"/>
      <c r="I155" s="155">
        <f>ROUND(F155*G155+H155,0)</f>
        <v>0</v>
      </c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</row>
    <row r="156" spans="1:68" ht="12.75">
      <c r="A156" s="173"/>
      <c r="B156" s="161" t="s">
        <v>469</v>
      </c>
      <c r="C156" s="305">
        <v>611126404</v>
      </c>
      <c r="D156" s="302">
        <v>786.1682</v>
      </c>
      <c r="E156" s="302">
        <v>800.1342</v>
      </c>
      <c r="F156" s="155">
        <v>1800</v>
      </c>
      <c r="G156" s="252">
        <f>E156-D156</f>
        <v>13.966000000000008</v>
      </c>
      <c r="H156" s="155"/>
      <c r="I156" s="155">
        <f>ROUND(F156*G156+H156,0)</f>
        <v>25139</v>
      </c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</row>
    <row r="157" spans="1:68" ht="12.75">
      <c r="A157" s="144"/>
      <c r="B157" s="149" t="s">
        <v>509</v>
      </c>
      <c r="C157" s="305">
        <v>611126334</v>
      </c>
      <c r="D157" s="302">
        <v>0.1356</v>
      </c>
      <c r="E157" s="302">
        <v>0.1356</v>
      </c>
      <c r="F157" s="155">
        <v>1800</v>
      </c>
      <c r="G157" s="252">
        <f>E157-D157</f>
        <v>0</v>
      </c>
      <c r="H157" s="96"/>
      <c r="I157" s="155">
        <f>ROUND(F157*G157+H157,0)</f>
        <v>0</v>
      </c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</row>
    <row r="158" spans="1:68" ht="12.75">
      <c r="A158" s="159" t="s">
        <v>477</v>
      </c>
      <c r="B158" s="143" t="s">
        <v>493</v>
      </c>
      <c r="C158" s="305">
        <v>611127724</v>
      </c>
      <c r="D158" s="302">
        <v>586.2312</v>
      </c>
      <c r="E158" s="302">
        <v>597.0876</v>
      </c>
      <c r="F158" s="155">
        <v>30</v>
      </c>
      <c r="G158" s="252">
        <f>E158-D158</f>
        <v>10.856400000000008</v>
      </c>
      <c r="H158" s="155"/>
      <c r="I158" s="155">
        <f>ROUND(F158*G158+H158,0)</f>
        <v>326</v>
      </c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</row>
    <row r="159" spans="1:68" ht="12.75">
      <c r="A159" s="103"/>
      <c r="B159" s="173" t="s">
        <v>540</v>
      </c>
      <c r="C159" s="305"/>
      <c r="D159" s="306"/>
      <c r="E159" s="306"/>
      <c r="F159" s="155"/>
      <c r="G159" s="212"/>
      <c r="H159" s="155"/>
      <c r="I159" s="155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</row>
    <row r="160" spans="1:68" ht="12.75">
      <c r="A160" s="96"/>
      <c r="B160" s="312"/>
      <c r="C160" s="171"/>
      <c r="D160" s="306"/>
      <c r="E160" s="306"/>
      <c r="F160" s="155"/>
      <c r="G160" s="212"/>
      <c r="H160" s="155"/>
      <c r="I160" s="155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</row>
    <row r="161" spans="1:68" ht="12.75">
      <c r="A161" s="103"/>
      <c r="B161" s="148"/>
      <c r="C161" s="150"/>
      <c r="D161" s="150"/>
      <c r="E161" s="150"/>
      <c r="F161" s="150" t="s">
        <v>264</v>
      </c>
      <c r="G161" s="150"/>
      <c r="H161" s="151"/>
      <c r="I161" s="235">
        <f>SUM(I137:I159)-I160</f>
        <v>115233</v>
      </c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</row>
    <row r="162" spans="1:68" ht="12.75">
      <c r="A162" s="102"/>
      <c r="B162" s="150"/>
      <c r="C162" s="150"/>
      <c r="D162" s="150"/>
      <c r="E162" s="150"/>
      <c r="F162" s="150"/>
      <c r="G162" s="150" t="s">
        <v>265</v>
      </c>
      <c r="H162" s="151"/>
      <c r="I162" s="235">
        <f>I103+I104+I107+I108+I109+I110-I134-I161</f>
        <v>2851257.5719999936</v>
      </c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</row>
    <row r="163" spans="1:68" ht="12.75">
      <c r="A163" s="96" t="s">
        <v>272</v>
      </c>
      <c r="B163" s="102" t="s">
        <v>266</v>
      </c>
      <c r="C163" s="150"/>
      <c r="D163" s="150"/>
      <c r="E163" s="150"/>
      <c r="F163" s="150"/>
      <c r="G163" s="150"/>
      <c r="H163" s="150"/>
      <c r="I163" s="151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</row>
    <row r="164" spans="1:68" ht="12.75">
      <c r="A164" s="143" t="s">
        <v>270</v>
      </c>
      <c r="B164" s="143" t="s">
        <v>267</v>
      </c>
      <c r="C164" s="171">
        <v>18705639</v>
      </c>
      <c r="D164" s="321">
        <v>38</v>
      </c>
      <c r="E164" s="321">
        <v>38</v>
      </c>
      <c r="F164" s="175">
        <v>30</v>
      </c>
      <c r="G164" s="322">
        <f>E164-D164</f>
        <v>0</v>
      </c>
      <c r="H164" s="143"/>
      <c r="I164" s="175">
        <f>F164*G164+H164</f>
        <v>0</v>
      </c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</row>
    <row r="165" spans="1:68" ht="12.75">
      <c r="A165" s="144"/>
      <c r="B165" s="144" t="s">
        <v>268</v>
      </c>
      <c r="C165" s="169"/>
      <c r="D165" s="144"/>
      <c r="E165" s="144"/>
      <c r="F165" s="164"/>
      <c r="G165" s="144"/>
      <c r="H165" s="144"/>
      <c r="I165" s="144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</row>
    <row r="166" spans="1:68" ht="12.75">
      <c r="A166" s="143" t="s">
        <v>271</v>
      </c>
      <c r="B166" s="143" t="s">
        <v>269</v>
      </c>
      <c r="C166" s="171">
        <v>18705843</v>
      </c>
      <c r="D166" s="321">
        <v>204.4</v>
      </c>
      <c r="E166" s="321">
        <v>204.4</v>
      </c>
      <c r="F166" s="175">
        <v>30</v>
      </c>
      <c r="G166" s="233">
        <f>E166-D166</f>
        <v>0</v>
      </c>
      <c r="H166" s="143"/>
      <c r="I166" s="175">
        <f>F166*G166+H166</f>
        <v>0</v>
      </c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</row>
    <row r="167" spans="1:68" ht="12.75">
      <c r="A167" s="144"/>
      <c r="B167" s="144" t="s">
        <v>268</v>
      </c>
      <c r="C167" s="169"/>
      <c r="D167" s="144"/>
      <c r="E167" s="144"/>
      <c r="F167" s="164"/>
      <c r="G167" s="144"/>
      <c r="H167" s="144"/>
      <c r="I167" s="144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</row>
    <row r="168" spans="1:68" ht="12.75">
      <c r="A168" s="102"/>
      <c r="B168" s="150"/>
      <c r="C168" s="217"/>
      <c r="D168" s="199"/>
      <c r="E168" s="218"/>
      <c r="F168" s="218" t="s">
        <v>273</v>
      </c>
      <c r="G168" s="219"/>
      <c r="H168" s="151"/>
      <c r="I168" s="155">
        <f>I164+I166</f>
        <v>0</v>
      </c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</row>
    <row r="169" spans="1:68" ht="12.75">
      <c r="A169" s="102"/>
      <c r="B169" s="150"/>
      <c r="C169" s="217"/>
      <c r="D169" s="199"/>
      <c r="E169" s="218"/>
      <c r="F169" s="218"/>
      <c r="G169" s="219" t="s">
        <v>274</v>
      </c>
      <c r="H169" s="151"/>
      <c r="I169" s="235">
        <f>I162+I168</f>
        <v>2851257.5719999936</v>
      </c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</row>
    <row r="170" spans="1:68" ht="12.75">
      <c r="A170" s="145" t="s">
        <v>275</v>
      </c>
      <c r="B170" s="146"/>
      <c r="C170" s="220"/>
      <c r="D170" s="202"/>
      <c r="E170" s="221"/>
      <c r="F170" s="221"/>
      <c r="G170" s="204"/>
      <c r="H170" s="146"/>
      <c r="I170" s="205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</row>
    <row r="171" spans="1:68" ht="12.75">
      <c r="A171" s="222" t="s">
        <v>538</v>
      </c>
      <c r="B171" s="223"/>
      <c r="C171" s="223"/>
      <c r="D171" s="191"/>
      <c r="E171" s="148"/>
      <c r="F171" s="148"/>
      <c r="G171" s="148"/>
      <c r="H171" s="148"/>
      <c r="I171" s="209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</row>
    <row r="172" spans="1:68" ht="12.75">
      <c r="A172" s="160" t="s">
        <v>279</v>
      </c>
      <c r="B172" s="160"/>
      <c r="C172" s="264"/>
      <c r="D172" s="181"/>
      <c r="E172" s="265"/>
      <c r="F172" s="265"/>
      <c r="G172" s="188"/>
      <c r="H172" s="160"/>
      <c r="I172" s="19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</row>
    <row r="173" spans="1:68" ht="12.75">
      <c r="A173" s="160"/>
      <c r="B173" s="160"/>
      <c r="C173" s="181"/>
      <c r="D173" s="313" t="s">
        <v>280</v>
      </c>
      <c r="E173" s="313"/>
      <c r="F173" s="314"/>
      <c r="G173" s="243"/>
      <c r="H173" s="243"/>
      <c r="I173" s="189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</row>
    <row r="174" spans="1:68" ht="12.75">
      <c r="A174" s="160"/>
      <c r="B174" s="160"/>
      <c r="C174" s="181"/>
      <c r="D174" s="313" t="s">
        <v>531</v>
      </c>
      <c r="E174" s="313"/>
      <c r="F174" s="314"/>
      <c r="G174" s="243"/>
      <c r="H174" s="243"/>
      <c r="I174" s="189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</row>
    <row r="175" spans="1:68" ht="12.75">
      <c r="A175" s="160"/>
      <c r="B175" s="160"/>
      <c r="C175" s="264"/>
      <c r="D175" s="313" t="s">
        <v>539</v>
      </c>
      <c r="E175" s="313"/>
      <c r="F175" s="314"/>
      <c r="G175" s="243"/>
      <c r="H175" s="243"/>
      <c r="I175" s="189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</row>
    <row r="176" spans="1:68" ht="12.75">
      <c r="A176" s="160"/>
      <c r="B176" s="160"/>
      <c r="C176" s="160"/>
      <c r="D176" s="160"/>
      <c r="E176" s="160"/>
      <c r="F176" s="160"/>
      <c r="G176" s="160"/>
      <c r="H176" s="160"/>
      <c r="I176" s="16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</row>
    <row r="177" spans="1:68" ht="12.75">
      <c r="A177" s="160"/>
      <c r="B177" s="160"/>
      <c r="C177" s="160"/>
      <c r="D177" s="160"/>
      <c r="E177" s="160"/>
      <c r="F177" s="160"/>
      <c r="G177" s="160"/>
      <c r="H177" s="160"/>
      <c r="I177" s="16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 t="s">
        <v>519</v>
      </c>
      <c r="BA177" s="120"/>
      <c r="BB177" s="120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</row>
    <row r="178" spans="1:68" ht="12.75">
      <c r="A178" s="160"/>
      <c r="B178" s="160"/>
      <c r="C178" s="315"/>
      <c r="D178" s="316"/>
      <c r="E178" s="316"/>
      <c r="F178" s="180"/>
      <c r="G178" s="317"/>
      <c r="H178" s="160"/>
      <c r="I178" s="18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 t="s">
        <v>513</v>
      </c>
      <c r="BA178" s="120" t="s">
        <v>109</v>
      </c>
      <c r="BB178" s="120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</row>
    <row r="179" spans="1:68" ht="12.75">
      <c r="A179" s="243"/>
      <c r="B179" s="160"/>
      <c r="C179" s="315"/>
      <c r="D179" s="316"/>
      <c r="E179" s="316"/>
      <c r="F179" s="180"/>
      <c r="G179" s="317"/>
      <c r="H179" s="160"/>
      <c r="I179" s="18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 t="s">
        <v>510</v>
      </c>
      <c r="AZ179" s="301">
        <f>AZ183+AZ184+AZ185</f>
        <v>3006811</v>
      </c>
      <c r="BA179" s="370">
        <f>AZ179*2.9</f>
        <v>8719751.9</v>
      </c>
      <c r="BB179" s="120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</row>
    <row r="180" spans="1:68" ht="12.75">
      <c r="A180" s="160"/>
      <c r="B180" s="160"/>
      <c r="C180" s="160"/>
      <c r="D180" s="160"/>
      <c r="E180" s="160"/>
      <c r="F180" s="160"/>
      <c r="G180" s="160"/>
      <c r="H180" s="160"/>
      <c r="I180" s="16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 t="s">
        <v>511</v>
      </c>
      <c r="AZ180" s="301">
        <f>AZ187-AZ179-AZ181</f>
        <v>2368051</v>
      </c>
      <c r="BA180" s="370">
        <f>AZ180*2.9</f>
        <v>6867347.899999999</v>
      </c>
      <c r="BB180" s="120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</row>
    <row r="181" spans="1:68" ht="12.75">
      <c r="A181" s="160"/>
      <c r="B181" s="160"/>
      <c r="C181" s="160"/>
      <c r="D181" s="160"/>
      <c r="E181" s="160"/>
      <c r="F181" s="160"/>
      <c r="G181" s="160"/>
      <c r="H181" s="160"/>
      <c r="I181" s="16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 t="s">
        <v>512</v>
      </c>
      <c r="AZ181" s="301">
        <f>AZ186</f>
        <v>163780</v>
      </c>
      <c r="BA181" s="370">
        <f>AZ181*2.9</f>
        <v>474962</v>
      </c>
      <c r="BB181" s="120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</row>
    <row r="182" spans="52:68" ht="12.75">
      <c r="AZ182" s="368"/>
      <c r="BA182" s="368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</row>
    <row r="183" spans="51:68" ht="12.75">
      <c r="AY183" s="120" t="s">
        <v>514</v>
      </c>
      <c r="AZ183" s="369">
        <v>2742934</v>
      </c>
      <c r="BA183" s="368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</row>
    <row r="184" spans="51:68" ht="12.75">
      <c r="AY184" s="120" t="s">
        <v>515</v>
      </c>
      <c r="AZ184" s="369">
        <f>AZ95</f>
        <v>82024</v>
      </c>
      <c r="BA184" s="368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</row>
    <row r="185" spans="51:68" ht="12.75">
      <c r="AY185" s="120" t="s">
        <v>517</v>
      </c>
      <c r="AZ185" s="369">
        <v>181853</v>
      </c>
      <c r="BA185" s="368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</row>
    <row r="186" spans="51:68" ht="12.75">
      <c r="AY186" s="120" t="s">
        <v>518</v>
      </c>
      <c r="AZ186" s="369">
        <v>163780</v>
      </c>
      <c r="BA186" s="368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</row>
    <row r="187" spans="51:68" ht="12.75">
      <c r="AY187" s="120" t="s">
        <v>516</v>
      </c>
      <c r="AZ187" s="369">
        <f>AZ131</f>
        <v>5538642</v>
      </c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</row>
    <row r="188" spans="55:68" ht="12.75"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</row>
    <row r="189" spans="55:68" ht="12.75"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 t="s">
        <v>552</v>
      </c>
      <c r="C196" s="4"/>
      <c r="D196" s="380">
        <v>42208.79</v>
      </c>
      <c r="E196" s="380">
        <v>42252.65</v>
      </c>
      <c r="F196" s="380">
        <v>1800</v>
      </c>
      <c r="G196" s="380">
        <f>E196-D196</f>
        <v>43.86000000000058</v>
      </c>
      <c r="H196" s="380"/>
      <c r="I196" s="155">
        <f>ROUND(F196*G196+H196,0)</f>
        <v>78948</v>
      </c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2.75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2.75">
      <c r="A200" s="11"/>
      <c r="B200" s="11"/>
      <c r="C200" s="11"/>
      <c r="D200" s="11"/>
      <c r="E200" s="11"/>
      <c r="F200" s="11"/>
      <c r="G200" s="11"/>
      <c r="H200" s="11"/>
      <c r="I200" s="11"/>
    </row>
    <row r="211" spans="1:9" ht="12.75">
      <c r="A211" s="11"/>
      <c r="B211" s="11"/>
      <c r="C211" s="11"/>
      <c r="D211" s="11"/>
      <c r="E211" s="11"/>
      <c r="F211" s="11"/>
      <c r="G211" s="11"/>
      <c r="H211" s="11"/>
      <c r="I211" s="11"/>
    </row>
    <row r="212" spans="1:9" ht="12.75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 ht="13.5">
      <c r="A213" s="31"/>
      <c r="B213" s="48"/>
      <c r="C213" s="48"/>
      <c r="D213" s="48"/>
      <c r="E213" s="48"/>
      <c r="F213" s="48"/>
      <c r="G213" s="69"/>
      <c r="H213" s="48"/>
      <c r="I213" s="11"/>
    </row>
    <row r="214" spans="1:9" ht="12.75">
      <c r="A214" s="11"/>
      <c r="B214" s="11"/>
      <c r="C214" s="11"/>
      <c r="D214" s="11"/>
      <c r="E214" s="11"/>
      <c r="F214" s="11"/>
      <c r="G214" s="11"/>
      <c r="H214" s="11"/>
      <c r="I214" s="11"/>
    </row>
    <row r="215" spans="1:9" ht="12.75">
      <c r="A215" s="11"/>
      <c r="B215" s="11"/>
      <c r="C215" s="11"/>
      <c r="D215" s="11"/>
      <c r="E215" s="11"/>
      <c r="F215" s="11"/>
      <c r="G215" s="11"/>
      <c r="H215" s="11"/>
      <c r="I215" s="11"/>
    </row>
    <row r="216" spans="1:9" ht="12.7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2.7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2.75">
      <c r="A218" s="4"/>
      <c r="B218" s="3"/>
      <c r="C218" s="3"/>
      <c r="D218" s="3"/>
      <c r="E218" s="3"/>
      <c r="F218" s="3"/>
      <c r="G218" s="3"/>
      <c r="H218" s="3"/>
      <c r="I218" s="3"/>
    </row>
    <row r="219" spans="1:9" ht="12.75">
      <c r="A219" s="3"/>
      <c r="B219" s="3"/>
      <c r="C219" s="3"/>
      <c r="D219" s="3"/>
      <c r="E219" s="4"/>
      <c r="F219" s="3"/>
      <c r="G219" s="3"/>
      <c r="H219" s="3"/>
      <c r="I219" s="3"/>
    </row>
    <row r="220" spans="1:9" ht="12.7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2.7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2.7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2.7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2.7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2.75">
      <c r="A225" s="4"/>
      <c r="B225" s="4"/>
      <c r="C225" s="4"/>
      <c r="D225" s="4"/>
      <c r="E225" s="4"/>
      <c r="F225" s="4"/>
      <c r="G225" s="4"/>
      <c r="H225" s="4"/>
      <c r="I225" s="4"/>
    </row>
    <row r="226" spans="1:27" ht="12.75">
      <c r="A226" s="4"/>
      <c r="B226" s="4"/>
      <c r="C226" s="4"/>
      <c r="D226" s="4"/>
      <c r="E226" s="4"/>
      <c r="F226" s="4"/>
      <c r="G226" s="4"/>
      <c r="H226" s="4"/>
      <c r="I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2.75">
      <c r="A227" s="4"/>
      <c r="B227" s="4"/>
      <c r="C227" s="4"/>
      <c r="D227" s="4"/>
      <c r="E227" s="4"/>
      <c r="F227" s="4"/>
      <c r="G227" s="4"/>
      <c r="H227" s="4"/>
      <c r="I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2.75">
      <c r="A228" s="4"/>
      <c r="B228" s="4"/>
      <c r="C228" s="4"/>
      <c r="D228" s="4"/>
      <c r="E228" s="4"/>
      <c r="F228" s="4"/>
      <c r="G228" s="4"/>
      <c r="H228" s="4"/>
      <c r="I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2.75">
      <c r="A229" s="4"/>
      <c r="B229" s="4"/>
      <c r="C229" s="4"/>
      <c r="D229" s="4"/>
      <c r="E229" s="4"/>
      <c r="F229" s="4"/>
      <c r="G229" s="4"/>
      <c r="H229" s="4"/>
      <c r="I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2.75">
      <c r="A230" s="25"/>
      <c r="B230" s="4"/>
      <c r="C230" s="4"/>
      <c r="D230" s="4"/>
      <c r="E230" s="4"/>
      <c r="F230" s="4"/>
      <c r="G230" s="4"/>
      <c r="H230" s="4"/>
      <c r="I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2.75">
      <c r="A231" s="4"/>
      <c r="B231" s="4"/>
      <c r="C231" s="4"/>
      <c r="D231" s="4"/>
      <c r="E231" s="4"/>
      <c r="F231" s="4"/>
      <c r="G231" s="4"/>
      <c r="H231" s="4"/>
      <c r="I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9:27" ht="12.75">
      <c r="S232" s="4"/>
      <c r="T232" s="4"/>
      <c r="U232" s="4"/>
      <c r="V232" s="4"/>
      <c r="W232" s="4"/>
      <c r="X232" s="4"/>
      <c r="Y232" s="4"/>
      <c r="Z232" s="4"/>
      <c r="AA232" s="4"/>
    </row>
    <row r="233" spans="19:27" ht="12.75">
      <c r="S233" s="4"/>
      <c r="T233" s="4"/>
      <c r="U233" s="4"/>
      <c r="V233" s="4"/>
      <c r="W233" s="4"/>
      <c r="X233" s="4"/>
      <c r="Y233" s="4"/>
      <c r="Z233" s="4"/>
      <c r="AA233" s="4"/>
    </row>
    <row r="234" spans="19:27" ht="12.75">
      <c r="S234" s="4"/>
      <c r="T234" s="4"/>
      <c r="U234" s="4"/>
      <c r="V234" s="4"/>
      <c r="W234" s="4"/>
      <c r="X234" s="4"/>
      <c r="Y234" s="4"/>
      <c r="Z234" s="4"/>
      <c r="AA234" s="4"/>
    </row>
    <row r="235" spans="19:27" ht="12.75">
      <c r="S235" s="4"/>
      <c r="T235" s="4"/>
      <c r="U235" s="4"/>
      <c r="V235" s="4"/>
      <c r="W235" s="4"/>
      <c r="X235" s="4"/>
      <c r="Y235" s="4"/>
      <c r="Z235" s="4"/>
      <c r="AA235" s="4"/>
    </row>
    <row r="236" spans="19:27" ht="12.75">
      <c r="S236" s="4"/>
      <c r="T236" s="4"/>
      <c r="U236" s="4"/>
      <c r="V236" s="4"/>
      <c r="W236" s="4"/>
      <c r="X236" s="4"/>
      <c r="Y236" s="4"/>
      <c r="Z236" s="4"/>
      <c r="AA236" s="4"/>
    </row>
    <row r="237" spans="19:27" ht="12.75">
      <c r="S237" s="12"/>
      <c r="T237" s="23"/>
      <c r="U237" s="18"/>
      <c r="V237" s="18"/>
      <c r="W237" s="21"/>
      <c r="X237" s="22"/>
      <c r="Y237" s="18"/>
      <c r="Z237" s="12"/>
      <c r="AA237" s="13"/>
    </row>
    <row r="238" spans="19:27" ht="12.75">
      <c r="S238" s="16"/>
      <c r="T238" s="11"/>
      <c r="U238" s="19"/>
      <c r="V238" s="19"/>
      <c r="W238" s="18"/>
      <c r="X238" s="18"/>
      <c r="Y238" s="19"/>
      <c r="Z238" s="16"/>
      <c r="AA238" s="17"/>
    </row>
    <row r="239" spans="19:27" ht="12.75">
      <c r="S239" s="14"/>
      <c r="T239" s="9"/>
      <c r="U239" s="20"/>
      <c r="V239" s="20"/>
      <c r="W239" s="27"/>
      <c r="X239" s="27"/>
      <c r="Y239" s="20"/>
      <c r="Z239" s="14"/>
      <c r="AA239" s="15"/>
    </row>
    <row r="240" spans="19:27" ht="12.75">
      <c r="S240" s="32"/>
      <c r="T240" s="28"/>
      <c r="U240" s="28"/>
      <c r="V240" s="28"/>
      <c r="W240" s="28"/>
      <c r="X240" s="28"/>
      <c r="Y240" s="28"/>
      <c r="Z240" s="28"/>
      <c r="AA240" s="63"/>
    </row>
    <row r="241" spans="19:27" ht="12.75">
      <c r="S241" s="12"/>
      <c r="T241" s="23"/>
      <c r="U241" s="70"/>
      <c r="V241" s="22"/>
      <c r="W241" s="8"/>
      <c r="X241" s="8"/>
      <c r="Y241" s="61"/>
      <c r="Z241" s="1"/>
      <c r="AA241" s="35"/>
    </row>
    <row r="242" spans="19:27" ht="12.75">
      <c r="S242" s="16"/>
      <c r="T242" s="11"/>
      <c r="U242" s="71"/>
      <c r="V242" s="22"/>
      <c r="W242" s="8"/>
      <c r="X242" s="8"/>
      <c r="Y242" s="1"/>
      <c r="Z242" s="1"/>
      <c r="AA242" s="35"/>
    </row>
    <row r="243" spans="19:27" ht="12.75">
      <c r="S243" s="12"/>
      <c r="T243" s="23"/>
      <c r="U243" s="70"/>
      <c r="V243" s="22"/>
      <c r="W243" s="8"/>
      <c r="X243" s="8"/>
      <c r="Y243" s="1"/>
      <c r="Z243" s="1"/>
      <c r="AA243" s="35"/>
    </row>
    <row r="244" spans="19:27" ht="12.75">
      <c r="S244" s="16"/>
      <c r="T244" s="11"/>
      <c r="U244" s="71"/>
      <c r="V244" s="22"/>
      <c r="W244" s="8"/>
      <c r="X244" s="8"/>
      <c r="Y244" s="1"/>
      <c r="Z244" s="1"/>
      <c r="AA244" s="35"/>
    </row>
    <row r="245" spans="19:27" ht="12.75">
      <c r="S245" s="12"/>
      <c r="T245" s="23"/>
      <c r="U245" s="70"/>
      <c r="V245" s="22"/>
      <c r="W245" s="8"/>
      <c r="X245" s="8"/>
      <c r="Y245" s="1"/>
      <c r="Z245" s="1"/>
      <c r="AA245" s="35"/>
    </row>
    <row r="246" spans="19:27" ht="12.75">
      <c r="S246" s="16"/>
      <c r="T246" s="11"/>
      <c r="U246" s="71"/>
      <c r="V246" s="22"/>
      <c r="W246" s="1"/>
      <c r="X246" s="8"/>
      <c r="Y246" s="1"/>
      <c r="Z246" s="1"/>
      <c r="AA246" s="35"/>
    </row>
    <row r="247" spans="19:27" ht="12.75">
      <c r="S247" s="12"/>
      <c r="T247" s="23"/>
      <c r="U247" s="70"/>
      <c r="V247" s="22"/>
      <c r="W247" s="8"/>
      <c r="X247" s="8"/>
      <c r="Y247" s="1"/>
      <c r="Z247" s="1"/>
      <c r="AA247" s="35"/>
    </row>
    <row r="248" spans="19:27" ht="12.75">
      <c r="S248" s="16"/>
      <c r="T248" s="11"/>
      <c r="U248" s="71"/>
      <c r="V248" s="22"/>
      <c r="W248" s="8"/>
      <c r="X248" s="8"/>
      <c r="Y248" s="1"/>
      <c r="Z248" s="1"/>
      <c r="AA248" s="35"/>
    </row>
    <row r="249" spans="19:27" ht="12.75">
      <c r="S249" s="12"/>
      <c r="T249" s="23"/>
      <c r="U249" s="70"/>
      <c r="V249" s="22"/>
      <c r="W249" s="8"/>
      <c r="X249" s="8"/>
      <c r="Y249" s="1"/>
      <c r="Z249" s="1"/>
      <c r="AA249" s="35"/>
    </row>
    <row r="250" spans="19:27" ht="12.75">
      <c r="S250" s="14"/>
      <c r="T250" s="9"/>
      <c r="U250" s="71"/>
      <c r="V250" s="22"/>
      <c r="W250" s="8"/>
      <c r="X250" s="8"/>
      <c r="Y250" s="1"/>
      <c r="Z250" s="1"/>
      <c r="AA250" s="35"/>
    </row>
    <row r="251" spans="19:27" ht="12.75">
      <c r="S251" s="16"/>
      <c r="T251" s="11"/>
      <c r="U251" s="70"/>
      <c r="V251" s="22"/>
      <c r="W251" s="1"/>
      <c r="X251" s="8"/>
      <c r="Y251" s="1"/>
      <c r="Z251" s="1"/>
      <c r="AA251" s="35"/>
    </row>
    <row r="252" spans="19:27" ht="12.75">
      <c r="S252" s="14"/>
      <c r="T252" s="9"/>
      <c r="U252" s="71"/>
      <c r="V252" s="22"/>
      <c r="W252" s="1"/>
      <c r="X252" s="8"/>
      <c r="Y252" s="1"/>
      <c r="Z252" s="1"/>
      <c r="AA252" s="35"/>
    </row>
    <row r="253" spans="19:27" ht="12.75">
      <c r="S253" s="16"/>
      <c r="T253" s="11"/>
      <c r="U253" s="70"/>
      <c r="V253" s="22"/>
      <c r="W253" s="1"/>
      <c r="X253" s="8"/>
      <c r="Y253" s="1"/>
      <c r="Z253" s="1"/>
      <c r="AA253" s="35"/>
    </row>
    <row r="254" spans="19:27" ht="12.75">
      <c r="S254" s="14"/>
      <c r="T254" s="9"/>
      <c r="U254" s="71"/>
      <c r="V254" s="22"/>
      <c r="W254" s="1"/>
      <c r="X254" s="8"/>
      <c r="Y254" s="1"/>
      <c r="Z254" s="1"/>
      <c r="AA254" s="35"/>
    </row>
    <row r="255" spans="19:27" ht="12.75">
      <c r="S255" s="16"/>
      <c r="T255" s="11"/>
      <c r="U255" s="70"/>
      <c r="V255" s="22"/>
      <c r="W255" s="8"/>
      <c r="X255" s="8"/>
      <c r="Y255" s="1"/>
      <c r="Z255" s="1"/>
      <c r="AA255" s="35"/>
    </row>
    <row r="256" spans="19:27" ht="12.75">
      <c r="S256" s="14"/>
      <c r="T256" s="76"/>
      <c r="U256" s="72"/>
      <c r="V256" s="22"/>
      <c r="W256" s="8"/>
      <c r="X256" s="8"/>
      <c r="Y256" s="1"/>
      <c r="Z256" s="1"/>
      <c r="AA256" s="35"/>
    </row>
    <row r="257" spans="19:27" ht="12.75">
      <c r="S257" s="16"/>
      <c r="T257" s="17"/>
      <c r="U257" s="73"/>
      <c r="V257" s="1"/>
      <c r="W257" s="8"/>
      <c r="X257" s="8"/>
      <c r="Y257" s="1"/>
      <c r="Z257" s="1"/>
      <c r="AA257" s="35"/>
    </row>
    <row r="258" spans="19:27" ht="12.75">
      <c r="S258" s="14"/>
      <c r="T258" s="15"/>
      <c r="U258" s="74"/>
      <c r="V258" s="1"/>
      <c r="W258" s="8"/>
      <c r="X258" s="8"/>
      <c r="Y258" s="1"/>
      <c r="Z258" s="1"/>
      <c r="AA258" s="35"/>
    </row>
    <row r="259" spans="19:27" ht="12.75">
      <c r="S259" s="20"/>
      <c r="T259" s="20"/>
      <c r="U259" s="75"/>
      <c r="V259" s="1"/>
      <c r="W259" s="1"/>
      <c r="X259" s="1"/>
      <c r="Y259" s="1"/>
      <c r="Z259" s="1"/>
      <c r="AA259" s="35"/>
    </row>
    <row r="260" spans="19:27" ht="12.75">
      <c r="S260" s="1"/>
      <c r="T260" s="1"/>
      <c r="U260" s="75"/>
      <c r="V260" s="1"/>
      <c r="W260" s="8"/>
      <c r="X260" s="8"/>
      <c r="Y260" s="1"/>
      <c r="Z260" s="1"/>
      <c r="AA260" s="35"/>
    </row>
    <row r="261" spans="19:27" ht="12.75">
      <c r="S261" s="5"/>
      <c r="T261" s="1"/>
      <c r="U261" s="1"/>
      <c r="V261" s="1"/>
      <c r="W261" s="1"/>
      <c r="X261" s="1"/>
      <c r="Y261" s="1"/>
      <c r="Z261" s="1"/>
      <c r="AA261" s="40"/>
    </row>
    <row r="262" spans="19:27" ht="12.75">
      <c r="S262" s="5"/>
      <c r="T262" s="1"/>
      <c r="U262" s="1"/>
      <c r="V262" s="1"/>
      <c r="W262" s="1"/>
      <c r="X262" s="1"/>
      <c r="Y262" s="1"/>
      <c r="Z262" s="1"/>
      <c r="AA262" s="40"/>
    </row>
    <row r="263" spans="19:27" ht="12.75">
      <c r="S263" s="4"/>
      <c r="T263" s="4"/>
      <c r="U263" s="4"/>
      <c r="V263" s="4"/>
      <c r="W263" s="4"/>
      <c r="X263" s="4"/>
      <c r="Y263" s="4"/>
      <c r="Z263" s="4"/>
      <c r="AA263" s="4"/>
    </row>
    <row r="264" spans="19:27" ht="12.75">
      <c r="S264" s="4"/>
      <c r="T264" s="4"/>
      <c r="U264" s="4"/>
      <c r="V264" s="4"/>
      <c r="W264" s="4"/>
      <c r="X264" s="4"/>
      <c r="Y264" s="4"/>
      <c r="Z264" s="4"/>
      <c r="AA264" s="4"/>
    </row>
    <row r="265" spans="19:27" ht="12.75">
      <c r="S265" s="4"/>
      <c r="T265" s="4"/>
      <c r="U265" s="4"/>
      <c r="V265" s="4"/>
      <c r="W265" s="4"/>
      <c r="X265" s="4"/>
      <c r="Y265" s="4"/>
      <c r="Z265" s="4"/>
      <c r="AA265" s="4"/>
    </row>
    <row r="266" spans="19:27" ht="12.75">
      <c r="S266" s="4"/>
      <c r="T266" s="4"/>
      <c r="U266" s="4"/>
      <c r="V266" s="4"/>
      <c r="W266" s="4"/>
      <c r="X266" s="4"/>
      <c r="Y266" s="4"/>
      <c r="Z266" s="4"/>
      <c r="AA266" s="4"/>
    </row>
    <row r="267" spans="19:27" ht="12.75">
      <c r="S267" s="4"/>
      <c r="T267" s="4"/>
      <c r="U267" s="4"/>
      <c r="V267" s="4"/>
      <c r="W267" s="4"/>
      <c r="X267" s="4"/>
      <c r="Y267" s="4"/>
      <c r="Z267" s="4"/>
      <c r="AA267" s="4"/>
    </row>
    <row r="274" spans="19:27" ht="12.75">
      <c r="S274" s="4"/>
      <c r="T274" s="4"/>
      <c r="U274" s="4"/>
      <c r="V274" s="4"/>
      <c r="W274" s="4"/>
      <c r="X274" s="4"/>
      <c r="Y274" s="4"/>
      <c r="Z274" s="4"/>
      <c r="AA274" s="4"/>
    </row>
    <row r="275" spans="19:27" ht="12.75">
      <c r="S275" s="4"/>
      <c r="T275" s="4"/>
      <c r="U275" s="4"/>
      <c r="V275" s="4"/>
      <c r="W275" s="4"/>
      <c r="X275" s="4"/>
      <c r="Y275" s="4"/>
      <c r="Z275" s="4"/>
      <c r="AA275" s="4"/>
    </row>
    <row r="276" spans="19:27" ht="12.75">
      <c r="S276" s="4"/>
      <c r="T276" s="4"/>
      <c r="U276" s="4"/>
      <c r="V276" s="4"/>
      <c r="W276" s="4"/>
      <c r="X276" s="4"/>
      <c r="Y276" s="4"/>
      <c r="Z276" s="4"/>
      <c r="AA276" s="4"/>
    </row>
    <row r="277" spans="19:27" ht="12.75">
      <c r="S277" s="4"/>
      <c r="T277" s="4"/>
      <c r="U277" s="4"/>
      <c r="V277" s="4"/>
      <c r="W277" s="4"/>
      <c r="X277" s="4"/>
      <c r="Y277" s="4"/>
      <c r="Z277" s="4"/>
      <c r="AA277" s="4"/>
    </row>
    <row r="278" spans="19:27" ht="12.75">
      <c r="S278" s="4"/>
      <c r="T278" s="4"/>
      <c r="U278" s="4"/>
      <c r="V278" s="4"/>
      <c r="W278" s="4"/>
      <c r="X278" s="4"/>
      <c r="Y278" s="4"/>
      <c r="Z278" s="4"/>
      <c r="AA278" s="4"/>
    </row>
    <row r="279" spans="19:27" ht="12.75">
      <c r="S279" s="4"/>
      <c r="T279" s="4"/>
      <c r="U279" s="4"/>
      <c r="V279" s="4"/>
      <c r="W279" s="4"/>
      <c r="X279" s="4"/>
      <c r="Y279" s="4"/>
      <c r="Z279" s="4"/>
      <c r="AA279" s="4"/>
    </row>
  </sheetData>
  <sheetProtection/>
  <printOptions/>
  <pageMargins left="0.7874015748031497" right="0.1968503937007874" top="0.1968503937007874" bottom="0.1968503937007874" header="0.31496062992125984" footer="0.31496062992125984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I279"/>
  <sheetViews>
    <sheetView zoomScalePageLayoutView="0" workbookViewId="0" topLeftCell="A1">
      <selection activeCell="F214" sqref="F214"/>
    </sheetView>
  </sheetViews>
  <sheetFormatPr defaultColWidth="9.00390625" defaultRowHeight="12.75"/>
  <cols>
    <col min="1" max="1" width="6.75390625" style="0" customWidth="1"/>
    <col min="2" max="2" width="37.625" style="0" customWidth="1"/>
    <col min="3" max="3" width="15.125" style="0" customWidth="1"/>
    <col min="4" max="4" width="11.00390625" style="0" customWidth="1"/>
    <col min="5" max="5" width="11.625" style="0" customWidth="1"/>
    <col min="6" max="6" width="9.375" style="0" customWidth="1"/>
    <col min="7" max="7" width="9.25390625" style="0" customWidth="1"/>
    <col min="8" max="8" width="8.25390625" style="0" customWidth="1"/>
    <col min="9" max="9" width="12.00390625" style="0" customWidth="1"/>
    <col min="10" max="10" width="6.75390625" style="0" customWidth="1"/>
    <col min="11" max="11" width="36.375" style="0" customWidth="1"/>
    <col min="12" max="12" width="16.125" style="0" customWidth="1"/>
    <col min="13" max="14" width="11.125" style="0" customWidth="1"/>
    <col min="15" max="15" width="9.625" style="0" customWidth="1"/>
    <col min="16" max="16" width="10.25390625" style="0" customWidth="1"/>
    <col min="17" max="17" width="9.375" style="0" customWidth="1"/>
    <col min="18" max="18" width="11.625" style="0" customWidth="1"/>
    <col min="19" max="19" width="8.00390625" style="0" customWidth="1"/>
    <col min="21" max="21" width="13.625" style="0" customWidth="1"/>
    <col min="22" max="22" width="20.25390625" style="0" customWidth="1"/>
    <col min="23" max="23" width="15.75390625" style="0" customWidth="1"/>
    <col min="24" max="24" width="13.25390625" style="0" customWidth="1"/>
    <col min="25" max="26" width="13.875" style="0" customWidth="1"/>
    <col min="27" max="27" width="12.75390625" style="0" customWidth="1"/>
    <col min="28" max="28" width="7.375" style="0" customWidth="1"/>
    <col min="31" max="31" width="29.125" style="0" customWidth="1"/>
    <col min="32" max="32" width="13.00390625" style="0" customWidth="1"/>
    <col min="33" max="33" width="12.875" style="0" customWidth="1"/>
    <col min="34" max="34" width="12.125" style="0" customWidth="1"/>
    <col min="35" max="35" width="13.625" style="0" customWidth="1"/>
    <col min="36" max="36" width="12.875" style="0" customWidth="1"/>
    <col min="37" max="37" width="7.625" style="0" customWidth="1"/>
    <col min="40" max="40" width="30.75390625" style="0" customWidth="1"/>
    <col min="41" max="41" width="13.375" style="0" customWidth="1"/>
    <col min="42" max="42" width="12.00390625" style="0" customWidth="1"/>
    <col min="43" max="43" width="12.125" style="0" customWidth="1"/>
    <col min="44" max="44" width="12.375" style="0" customWidth="1"/>
    <col min="45" max="45" width="12.75390625" style="0" customWidth="1"/>
    <col min="51" max="51" width="23.875" style="0" customWidth="1"/>
    <col min="52" max="52" width="15.75390625" style="0" customWidth="1"/>
    <col min="53" max="53" width="17.625" style="0" customWidth="1"/>
    <col min="54" max="54" width="16.00390625" style="0" customWidth="1"/>
  </cols>
  <sheetData>
    <row r="1" spans="1:113" ht="12.7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60"/>
      <c r="T1" s="160"/>
      <c r="U1" s="160"/>
      <c r="V1" s="160"/>
      <c r="W1" s="160"/>
      <c r="X1" s="160"/>
      <c r="Y1" s="160"/>
      <c r="Z1" s="160"/>
      <c r="AA1" s="16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60"/>
      <c r="AU1" s="120"/>
      <c r="AV1" s="120"/>
      <c r="AW1" s="120"/>
      <c r="AX1" s="120"/>
      <c r="AY1" s="120"/>
      <c r="AZ1" s="120"/>
      <c r="BA1" s="120"/>
      <c r="BB1" s="120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</row>
    <row r="2" spans="1:113" ht="12.75">
      <c r="A2" s="120"/>
      <c r="B2" s="120"/>
      <c r="C2" s="120"/>
      <c r="D2" s="120" t="s">
        <v>192</v>
      </c>
      <c r="E2" s="120"/>
      <c r="F2" s="120"/>
      <c r="G2" s="120"/>
      <c r="H2" s="120"/>
      <c r="I2" s="120"/>
      <c r="J2" s="120"/>
      <c r="K2" s="120"/>
      <c r="L2" s="120"/>
      <c r="M2" s="120" t="s">
        <v>288</v>
      </c>
      <c r="N2" s="120"/>
      <c r="O2" s="120"/>
      <c r="P2" s="120"/>
      <c r="Q2" s="120"/>
      <c r="R2" s="120"/>
      <c r="S2" s="160"/>
      <c r="T2" s="160"/>
      <c r="U2" s="160"/>
      <c r="V2" s="160"/>
      <c r="W2" s="160"/>
      <c r="X2" s="160"/>
      <c r="Y2" s="160"/>
      <c r="Z2" s="160"/>
      <c r="AA2" s="160"/>
      <c r="AB2" s="120" t="s">
        <v>325</v>
      </c>
      <c r="AC2" s="120"/>
      <c r="AD2" s="120"/>
      <c r="AE2" s="120"/>
      <c r="AF2" s="120"/>
      <c r="AG2" s="120"/>
      <c r="AH2" s="120"/>
      <c r="AI2" s="120"/>
      <c r="AJ2" s="120"/>
      <c r="AK2" s="120" t="s">
        <v>325</v>
      </c>
      <c r="AL2" s="120"/>
      <c r="AM2" s="120"/>
      <c r="AN2" s="120"/>
      <c r="AO2" s="120"/>
      <c r="AP2" s="120"/>
      <c r="AQ2" s="120"/>
      <c r="AR2" s="120"/>
      <c r="AS2" s="120"/>
      <c r="AT2" s="160" t="s">
        <v>530</v>
      </c>
      <c r="AU2" s="120"/>
      <c r="AV2" s="120"/>
      <c r="AW2" s="120"/>
      <c r="AX2" s="120"/>
      <c r="AY2" s="120"/>
      <c r="AZ2" s="120"/>
      <c r="BA2" s="120"/>
      <c r="BB2" s="120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2.75">
      <c r="A3" s="120"/>
      <c r="B3" s="120"/>
      <c r="C3" s="120"/>
      <c r="D3" s="120" t="s">
        <v>193</v>
      </c>
      <c r="E3" s="120"/>
      <c r="F3" s="120"/>
      <c r="G3" s="120"/>
      <c r="H3" s="120"/>
      <c r="I3" s="120"/>
      <c r="J3" s="120"/>
      <c r="K3" s="120"/>
      <c r="L3" s="120"/>
      <c r="M3" s="120" t="s">
        <v>289</v>
      </c>
      <c r="N3" s="120"/>
      <c r="O3" s="120"/>
      <c r="P3" s="120"/>
      <c r="Q3" s="120"/>
      <c r="R3" s="120"/>
      <c r="S3" s="120" t="s">
        <v>325</v>
      </c>
      <c r="T3" s="120"/>
      <c r="U3" s="120"/>
      <c r="V3" s="120"/>
      <c r="W3" s="120"/>
      <c r="X3" s="120"/>
      <c r="Y3" s="120"/>
      <c r="Z3" s="120"/>
      <c r="AA3" s="120"/>
      <c r="AB3" s="120" t="s">
        <v>324</v>
      </c>
      <c r="AC3" s="120"/>
      <c r="AD3" s="120"/>
      <c r="AE3" s="120"/>
      <c r="AF3" s="120"/>
      <c r="AG3" s="120"/>
      <c r="AH3" s="120"/>
      <c r="AI3" s="120"/>
      <c r="AJ3" s="120"/>
      <c r="AK3" s="120" t="s">
        <v>324</v>
      </c>
      <c r="AL3" s="120"/>
      <c r="AM3" s="120"/>
      <c r="AN3" s="120"/>
      <c r="AO3" s="120"/>
      <c r="AP3" s="120"/>
      <c r="AQ3" s="120"/>
      <c r="AR3" s="120"/>
      <c r="AS3" s="120"/>
      <c r="AT3" s="160" t="s">
        <v>532</v>
      </c>
      <c r="AU3" s="120"/>
      <c r="AV3" s="120"/>
      <c r="AW3" s="120"/>
      <c r="AX3" s="120"/>
      <c r="AY3" s="120"/>
      <c r="AZ3" s="120"/>
      <c r="BA3" s="120"/>
      <c r="BB3" s="120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</row>
    <row r="4" spans="1:113" ht="13.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 t="s">
        <v>324</v>
      </c>
      <c r="T4" s="120"/>
      <c r="U4" s="120"/>
      <c r="V4" s="120"/>
      <c r="W4" s="120"/>
      <c r="X4" s="120"/>
      <c r="Y4" s="120"/>
      <c r="Z4" s="120"/>
      <c r="AA4" s="120"/>
      <c r="AB4" s="120" t="s">
        <v>326</v>
      </c>
      <c r="AC4" s="120"/>
      <c r="AD4" s="120"/>
      <c r="AE4" s="120"/>
      <c r="AF4" s="120"/>
      <c r="AG4" s="120"/>
      <c r="AH4" s="120"/>
      <c r="AI4" s="120"/>
      <c r="AJ4" s="120"/>
      <c r="AK4" s="120" t="s">
        <v>326</v>
      </c>
      <c r="AL4" s="120"/>
      <c r="AM4" s="120"/>
      <c r="AN4" s="120"/>
      <c r="AO4" s="120"/>
      <c r="AP4" s="120"/>
      <c r="AQ4" s="120"/>
      <c r="AR4" s="120"/>
      <c r="AS4" s="120"/>
      <c r="AT4" s="160"/>
      <c r="AU4" s="120" t="s">
        <v>400</v>
      </c>
      <c r="AV4" s="120"/>
      <c r="AW4" s="120"/>
      <c r="AX4" s="120"/>
      <c r="AY4" s="254" t="s">
        <v>70</v>
      </c>
      <c r="AZ4" s="254" t="s">
        <v>555</v>
      </c>
      <c r="BA4" s="120"/>
      <c r="BB4" s="120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</row>
    <row r="5" spans="1:113" ht="12.75">
      <c r="A5" s="120"/>
      <c r="B5" s="120"/>
      <c r="C5" s="120" t="s">
        <v>194</v>
      </c>
      <c r="D5" s="120"/>
      <c r="E5" s="120"/>
      <c r="F5" s="120"/>
      <c r="G5" s="120"/>
      <c r="H5" s="120"/>
      <c r="I5" s="120"/>
      <c r="J5" s="120"/>
      <c r="K5" s="120"/>
      <c r="L5" s="120" t="s">
        <v>194</v>
      </c>
      <c r="M5" s="120"/>
      <c r="N5" s="120"/>
      <c r="O5" s="120"/>
      <c r="P5" s="120"/>
      <c r="Q5" s="120"/>
      <c r="R5" s="120"/>
      <c r="S5" s="120" t="s">
        <v>326</v>
      </c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45"/>
      <c r="AU5" s="146" t="s">
        <v>405</v>
      </c>
      <c r="AV5" s="146"/>
      <c r="AW5" s="146"/>
      <c r="AX5" s="146"/>
      <c r="AY5" s="146"/>
      <c r="AZ5" s="145" t="s">
        <v>406</v>
      </c>
      <c r="BA5" s="145" t="s">
        <v>407</v>
      </c>
      <c r="BB5" s="143" t="s">
        <v>364</v>
      </c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</row>
    <row r="6" spans="1:113" ht="12.75">
      <c r="A6" s="120"/>
      <c r="B6" s="120"/>
      <c r="C6" s="120"/>
      <c r="D6" s="277" t="s">
        <v>564</v>
      </c>
      <c r="E6" s="277"/>
      <c r="F6" s="120"/>
      <c r="G6" s="120"/>
      <c r="H6" s="120"/>
      <c r="I6" s="120"/>
      <c r="J6" s="120"/>
      <c r="K6" s="120"/>
      <c r="L6" s="120"/>
      <c r="M6" s="277" t="s">
        <v>564</v>
      </c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59"/>
      <c r="AU6" s="160"/>
      <c r="AV6" s="160"/>
      <c r="AW6" s="160"/>
      <c r="AX6" s="160"/>
      <c r="AY6" s="160"/>
      <c r="AZ6" s="159" t="s">
        <v>413</v>
      </c>
      <c r="BA6" s="159" t="s">
        <v>177</v>
      </c>
      <c r="BB6" s="173" t="s">
        <v>80</v>
      </c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13" ht="12.75">
      <c r="A7" s="120" t="s">
        <v>528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59"/>
      <c r="AU7" s="160"/>
      <c r="AV7" s="160"/>
      <c r="AW7" s="160"/>
      <c r="AX7" s="160"/>
      <c r="AY7" s="160"/>
      <c r="AZ7" s="103" t="s">
        <v>178</v>
      </c>
      <c r="BA7" s="103"/>
      <c r="BB7" s="144" t="s">
        <v>81</v>
      </c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</row>
    <row r="8" spans="1:113" ht="12.75">
      <c r="A8" s="120" t="s">
        <v>196</v>
      </c>
      <c r="B8" s="120"/>
      <c r="C8" s="120"/>
      <c r="D8" s="120"/>
      <c r="E8" s="120"/>
      <c r="F8" s="120"/>
      <c r="G8" s="120"/>
      <c r="H8" s="120"/>
      <c r="I8" s="120"/>
      <c r="J8" s="120" t="s">
        <v>528</v>
      </c>
      <c r="K8" s="120"/>
      <c r="L8" s="120"/>
      <c r="M8" s="120"/>
      <c r="N8" s="120"/>
      <c r="O8" s="120"/>
      <c r="P8" s="120"/>
      <c r="Q8" s="120"/>
      <c r="R8" s="120"/>
      <c r="S8" s="120" t="s">
        <v>357</v>
      </c>
      <c r="T8" s="120"/>
      <c r="U8" s="120"/>
      <c r="V8" s="120"/>
      <c r="W8" s="120"/>
      <c r="X8" s="120"/>
      <c r="Y8" s="120"/>
      <c r="Z8" s="120"/>
      <c r="AA8" s="120"/>
      <c r="AB8" s="120" t="s">
        <v>357</v>
      </c>
      <c r="AC8" s="120"/>
      <c r="AD8" s="120"/>
      <c r="AE8" s="120"/>
      <c r="AF8" s="120"/>
      <c r="AG8" s="120"/>
      <c r="AH8" s="120"/>
      <c r="AI8" s="120"/>
      <c r="AJ8" s="120"/>
      <c r="AK8" s="120" t="s">
        <v>357</v>
      </c>
      <c r="AL8" s="120"/>
      <c r="AM8" s="120"/>
      <c r="AN8" s="120"/>
      <c r="AO8" s="120"/>
      <c r="AP8" s="120"/>
      <c r="AQ8" s="120"/>
      <c r="AR8" s="120"/>
      <c r="AS8" s="120"/>
      <c r="AT8" s="145" t="s">
        <v>45</v>
      </c>
      <c r="AU8" s="146"/>
      <c r="AV8" s="146"/>
      <c r="AW8" s="146"/>
      <c r="AX8" s="146"/>
      <c r="AY8" s="147"/>
      <c r="AZ8" s="187">
        <f>I16+I17+I20+I22+I77</f>
        <v>12395084.599999996</v>
      </c>
      <c r="BA8" s="278"/>
      <c r="BB8" s="279">
        <f>BB9+BB14</f>
        <v>23191493.208203997</v>
      </c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13" ht="12.75">
      <c r="A9" s="120" t="s">
        <v>198</v>
      </c>
      <c r="B9" s="120"/>
      <c r="C9" s="120"/>
      <c r="D9" s="120"/>
      <c r="E9" s="120"/>
      <c r="F9" s="120" t="s">
        <v>197</v>
      </c>
      <c r="G9" s="120"/>
      <c r="H9" s="120"/>
      <c r="I9" s="120"/>
      <c r="J9" s="120" t="s">
        <v>196</v>
      </c>
      <c r="K9" s="120"/>
      <c r="L9" s="120"/>
      <c r="M9" s="120"/>
      <c r="N9" s="120"/>
      <c r="O9" s="120" t="s">
        <v>197</v>
      </c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255" t="s">
        <v>383</v>
      </c>
      <c r="AU9" s="256"/>
      <c r="AV9" s="256"/>
      <c r="AW9" s="256"/>
      <c r="AX9" s="146"/>
      <c r="AY9" s="147"/>
      <c r="AZ9" s="280">
        <f>AZ11+AZ12</f>
        <v>6455771</v>
      </c>
      <c r="BA9" s="281">
        <f>(BB12+BB11)/AZ9</f>
        <v>3.5921559574526416</v>
      </c>
      <c r="BB9" s="279">
        <f>BB10+BB11+BB12+BB13</f>
        <v>23190136.2576</v>
      </c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13" ht="12.75">
      <c r="A10" s="143" t="s">
        <v>335</v>
      </c>
      <c r="B10" s="171" t="s">
        <v>199</v>
      </c>
      <c r="C10" s="143" t="s">
        <v>200</v>
      </c>
      <c r="D10" s="224" t="s">
        <v>286</v>
      </c>
      <c r="E10" s="225"/>
      <c r="F10" s="143" t="s">
        <v>201</v>
      </c>
      <c r="G10" s="143" t="s">
        <v>404</v>
      </c>
      <c r="H10" s="143" t="s">
        <v>202</v>
      </c>
      <c r="I10" s="143" t="s">
        <v>191</v>
      </c>
      <c r="J10" s="120" t="s">
        <v>198</v>
      </c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277" t="s">
        <v>565</v>
      </c>
      <c r="Z10" s="120"/>
      <c r="AA10" s="120"/>
      <c r="AB10" s="120"/>
      <c r="AC10" s="120"/>
      <c r="AD10" s="120"/>
      <c r="AE10" s="120"/>
      <c r="AF10" s="120"/>
      <c r="AG10" s="120"/>
      <c r="AH10" s="277" t="s">
        <v>565</v>
      </c>
      <c r="AI10" s="120"/>
      <c r="AJ10" s="120"/>
      <c r="AK10" s="120"/>
      <c r="AL10" s="120"/>
      <c r="AM10" s="120"/>
      <c r="AN10" s="120"/>
      <c r="AO10" s="120"/>
      <c r="AP10" s="120"/>
      <c r="AQ10" s="277" t="s">
        <v>565</v>
      </c>
      <c r="AR10" s="120"/>
      <c r="AS10" s="120"/>
      <c r="AT10" s="145" t="s">
        <v>179</v>
      </c>
      <c r="AU10" s="146"/>
      <c r="AV10" s="146"/>
      <c r="AW10" s="146"/>
      <c r="AX10" s="146"/>
      <c r="AY10" s="147"/>
      <c r="AZ10" s="282"/>
      <c r="BA10" s="283">
        <v>0</v>
      </c>
      <c r="BB10" s="284">
        <f>AZ10*BA10</f>
        <v>0</v>
      </c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</row>
    <row r="11" spans="1:113" ht="12.75">
      <c r="A11" s="173"/>
      <c r="B11" s="173"/>
      <c r="C11" s="173"/>
      <c r="D11" s="143" t="s">
        <v>203</v>
      </c>
      <c r="E11" s="145" t="s">
        <v>204</v>
      </c>
      <c r="F11" s="173" t="s">
        <v>205</v>
      </c>
      <c r="G11" s="173" t="s">
        <v>190</v>
      </c>
      <c r="H11" s="173"/>
      <c r="I11" s="173" t="s">
        <v>206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45" t="s">
        <v>180</v>
      </c>
      <c r="AU11" s="146"/>
      <c r="AV11" s="146"/>
      <c r="AW11" s="146"/>
      <c r="AX11" s="146"/>
      <c r="AY11" s="147"/>
      <c r="AZ11" s="155">
        <f>I81+I73</f>
        <v>7234.000000000022</v>
      </c>
      <c r="BA11" s="285">
        <v>5.30008</v>
      </c>
      <c r="BB11" s="284">
        <f>AZ11*BA11</f>
        <v>38340.77872000012</v>
      </c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</row>
    <row r="12" spans="1:113" ht="12.75">
      <c r="A12" s="144"/>
      <c r="B12" s="144"/>
      <c r="C12" s="144"/>
      <c r="D12" s="144" t="s">
        <v>207</v>
      </c>
      <c r="E12" s="103" t="s">
        <v>207</v>
      </c>
      <c r="F12" s="144" t="s">
        <v>208</v>
      </c>
      <c r="G12" s="144"/>
      <c r="H12" s="144"/>
      <c r="I12" s="144"/>
      <c r="J12" s="143" t="s">
        <v>335</v>
      </c>
      <c r="K12" s="171" t="s">
        <v>199</v>
      </c>
      <c r="L12" s="143" t="s">
        <v>200</v>
      </c>
      <c r="M12" s="224" t="s">
        <v>464</v>
      </c>
      <c r="N12" s="225"/>
      <c r="O12" s="143" t="s">
        <v>201</v>
      </c>
      <c r="P12" s="143" t="s">
        <v>404</v>
      </c>
      <c r="Q12" s="143" t="s">
        <v>202</v>
      </c>
      <c r="R12" s="143" t="s">
        <v>191</v>
      </c>
      <c r="S12" s="143" t="s">
        <v>335</v>
      </c>
      <c r="T12" s="145" t="s">
        <v>336</v>
      </c>
      <c r="U12" s="146"/>
      <c r="V12" s="147"/>
      <c r="W12" s="102" t="s">
        <v>337</v>
      </c>
      <c r="X12" s="150"/>
      <c r="Y12" s="150"/>
      <c r="Z12" s="150"/>
      <c r="AA12" s="151"/>
      <c r="AB12" s="143" t="s">
        <v>335</v>
      </c>
      <c r="AC12" s="145" t="s">
        <v>336</v>
      </c>
      <c r="AD12" s="146"/>
      <c r="AE12" s="147"/>
      <c r="AF12" s="102" t="s">
        <v>337</v>
      </c>
      <c r="AG12" s="150"/>
      <c r="AH12" s="150"/>
      <c r="AI12" s="150"/>
      <c r="AJ12" s="151"/>
      <c r="AK12" s="143" t="s">
        <v>335</v>
      </c>
      <c r="AL12" s="145" t="s">
        <v>336</v>
      </c>
      <c r="AM12" s="146"/>
      <c r="AN12" s="147"/>
      <c r="AO12" s="102" t="s">
        <v>337</v>
      </c>
      <c r="AP12" s="150"/>
      <c r="AQ12" s="150"/>
      <c r="AR12" s="150"/>
      <c r="AS12" s="151"/>
      <c r="AT12" s="145" t="s">
        <v>181</v>
      </c>
      <c r="AU12" s="146"/>
      <c r="AV12" s="146"/>
      <c r="AW12" s="146"/>
      <c r="AX12" s="146"/>
      <c r="AY12" s="147"/>
      <c r="AZ12" s="280">
        <f>I75</f>
        <v>6448537</v>
      </c>
      <c r="BA12" s="286">
        <v>3.59024</v>
      </c>
      <c r="BB12" s="284">
        <f>AZ12*BA12</f>
        <v>23151795.47888</v>
      </c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</row>
    <row r="13" spans="1:113" ht="12.75">
      <c r="A13" s="152">
        <v>1</v>
      </c>
      <c r="B13" s="152">
        <v>2</v>
      </c>
      <c r="C13" s="152">
        <v>3</v>
      </c>
      <c r="D13" s="152">
        <v>4</v>
      </c>
      <c r="E13" s="152">
        <v>5</v>
      </c>
      <c r="F13" s="152">
        <v>6</v>
      </c>
      <c r="G13" s="152">
        <v>7</v>
      </c>
      <c r="H13" s="152">
        <v>8</v>
      </c>
      <c r="I13" s="152">
        <v>9</v>
      </c>
      <c r="J13" s="173"/>
      <c r="K13" s="173"/>
      <c r="L13" s="173"/>
      <c r="M13" s="143" t="s">
        <v>203</v>
      </c>
      <c r="N13" s="145" t="s">
        <v>204</v>
      </c>
      <c r="O13" s="173" t="s">
        <v>205</v>
      </c>
      <c r="P13" s="173" t="s">
        <v>190</v>
      </c>
      <c r="Q13" s="173"/>
      <c r="R13" s="173" t="s">
        <v>206</v>
      </c>
      <c r="S13" s="144"/>
      <c r="T13" s="103"/>
      <c r="U13" s="148"/>
      <c r="V13" s="149"/>
      <c r="W13" s="152" t="s">
        <v>338</v>
      </c>
      <c r="X13" s="152" t="s">
        <v>339</v>
      </c>
      <c r="Y13" s="152" t="s">
        <v>340</v>
      </c>
      <c r="Z13" s="152" t="s">
        <v>341</v>
      </c>
      <c r="AA13" s="152" t="s">
        <v>342</v>
      </c>
      <c r="AB13" s="144"/>
      <c r="AC13" s="103"/>
      <c r="AD13" s="148"/>
      <c r="AE13" s="149"/>
      <c r="AF13" s="152" t="s">
        <v>338</v>
      </c>
      <c r="AG13" s="152" t="s">
        <v>339</v>
      </c>
      <c r="AH13" s="152" t="s">
        <v>340</v>
      </c>
      <c r="AI13" s="152" t="s">
        <v>341</v>
      </c>
      <c r="AJ13" s="152" t="s">
        <v>342</v>
      </c>
      <c r="AK13" s="144"/>
      <c r="AL13" s="103"/>
      <c r="AM13" s="148"/>
      <c r="AN13" s="149"/>
      <c r="AO13" s="152" t="s">
        <v>338</v>
      </c>
      <c r="AP13" s="152" t="s">
        <v>339</v>
      </c>
      <c r="AQ13" s="152" t="s">
        <v>340</v>
      </c>
      <c r="AR13" s="152" t="s">
        <v>341</v>
      </c>
      <c r="AS13" s="152" t="s">
        <v>342</v>
      </c>
      <c r="AT13" s="102" t="s">
        <v>173</v>
      </c>
      <c r="AU13" s="150"/>
      <c r="AV13" s="150"/>
      <c r="AW13" s="150"/>
      <c r="AX13" s="150"/>
      <c r="AY13" s="151"/>
      <c r="AZ13" s="280"/>
      <c r="BA13" s="257"/>
      <c r="BB13" s="284">
        <f>BA13*AZ13</f>
        <v>0</v>
      </c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</row>
    <row r="14" spans="1:113" ht="12.75">
      <c r="A14" s="103"/>
      <c r="B14" s="148"/>
      <c r="C14" s="320" t="s">
        <v>209</v>
      </c>
      <c r="D14" s="320"/>
      <c r="E14" s="148"/>
      <c r="F14" s="148"/>
      <c r="G14" s="148"/>
      <c r="H14" s="148"/>
      <c r="I14" s="149"/>
      <c r="J14" s="144"/>
      <c r="K14" s="144"/>
      <c r="L14" s="144"/>
      <c r="M14" s="144" t="s">
        <v>207</v>
      </c>
      <c r="N14" s="103" t="s">
        <v>207</v>
      </c>
      <c r="O14" s="144" t="s">
        <v>208</v>
      </c>
      <c r="P14" s="144"/>
      <c r="Q14" s="144"/>
      <c r="R14" s="144"/>
      <c r="S14" s="152">
        <v>1</v>
      </c>
      <c r="T14" s="96" t="s">
        <v>159</v>
      </c>
      <c r="U14" s="96"/>
      <c r="V14" s="96"/>
      <c r="W14" s="155">
        <f aca="true" t="shared" si="0" ref="W14:W25">SUM(X14:AA14)</f>
        <v>5684661</v>
      </c>
      <c r="X14" s="155">
        <f>SUM(X15:X26)</f>
        <v>4873796</v>
      </c>
      <c r="Y14" s="155">
        <f>SUM(Y15:Y27)</f>
        <v>0</v>
      </c>
      <c r="Z14" s="155">
        <f>SUM(Z15:Z26)</f>
        <v>810865</v>
      </c>
      <c r="AA14" s="152">
        <f>SUM(AA15:AA27)</f>
        <v>0</v>
      </c>
      <c r="AB14" s="152"/>
      <c r="AC14" s="96" t="s">
        <v>136</v>
      </c>
      <c r="AD14" s="96"/>
      <c r="AE14" s="96"/>
      <c r="AF14" s="163">
        <f>SUM(AG14:AJ14)</f>
        <v>176985</v>
      </c>
      <c r="AG14" s="155">
        <f>SUM(AG16:AG22)</f>
        <v>168588</v>
      </c>
      <c r="AH14" s="155">
        <f>SUM(AH16:AH22)</f>
        <v>0</v>
      </c>
      <c r="AI14" s="155">
        <f>SUM(AI16:AI22)</f>
        <v>8397</v>
      </c>
      <c r="AJ14" s="152">
        <f>SUM(AJ16:AJ22)</f>
        <v>0</v>
      </c>
      <c r="AK14" s="171">
        <v>1</v>
      </c>
      <c r="AL14" s="143" t="s">
        <v>136</v>
      </c>
      <c r="AM14" s="143"/>
      <c r="AN14" s="143"/>
      <c r="AO14" s="175">
        <f>SUM(AP14:AS14)</f>
        <v>70506</v>
      </c>
      <c r="AP14" s="175">
        <f>SUM(AP16:AP17)</f>
        <v>0</v>
      </c>
      <c r="AQ14" s="175">
        <f>SUM(AQ16:AQ17)</f>
        <v>0</v>
      </c>
      <c r="AR14" s="175">
        <f>ROUND(SUM(AR16:AR20),0)</f>
        <v>70506</v>
      </c>
      <c r="AS14" s="171">
        <f>SUM(AS16:AS17)</f>
        <v>0</v>
      </c>
      <c r="AT14" s="144" t="s">
        <v>423</v>
      </c>
      <c r="AU14" s="144"/>
      <c r="AV14" s="144"/>
      <c r="AW14" s="144"/>
      <c r="AX14" s="144"/>
      <c r="AY14" s="144"/>
      <c r="AZ14" s="280">
        <f>SUM(AZ15:AZ21)</f>
        <v>412</v>
      </c>
      <c r="BA14" s="287"/>
      <c r="BB14" s="284">
        <f>SUM(BB15:BB21)</f>
        <v>1356.950604</v>
      </c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</row>
    <row r="15" spans="1:113" ht="12.75">
      <c r="A15" s="103"/>
      <c r="B15" s="102" t="s">
        <v>520</v>
      </c>
      <c r="C15" s="320"/>
      <c r="D15" s="320"/>
      <c r="E15" s="148"/>
      <c r="F15" s="148"/>
      <c r="G15" s="148"/>
      <c r="H15" s="148"/>
      <c r="I15" s="149"/>
      <c r="J15" s="152">
        <v>1</v>
      </c>
      <c r="K15" s="152">
        <v>2</v>
      </c>
      <c r="L15" s="152">
        <v>3</v>
      </c>
      <c r="M15" s="152">
        <v>4</v>
      </c>
      <c r="N15" s="152">
        <v>5</v>
      </c>
      <c r="O15" s="152">
        <v>6</v>
      </c>
      <c r="P15" s="152">
        <v>7</v>
      </c>
      <c r="Q15" s="152">
        <v>8</v>
      </c>
      <c r="R15" s="152">
        <v>9</v>
      </c>
      <c r="S15" s="170" t="s">
        <v>145</v>
      </c>
      <c r="T15" s="145" t="s">
        <v>121</v>
      </c>
      <c r="U15" s="146"/>
      <c r="V15" s="146"/>
      <c r="W15" s="163">
        <f t="shared" si="0"/>
        <v>2908196</v>
      </c>
      <c r="X15" s="193">
        <f>ROUND(I20,0)</f>
        <v>2908196</v>
      </c>
      <c r="Y15" s="171">
        <v>0</v>
      </c>
      <c r="Z15" s="171">
        <v>0</v>
      </c>
      <c r="AA15" s="171">
        <v>0</v>
      </c>
      <c r="AB15" s="171">
        <v>1</v>
      </c>
      <c r="AC15" s="145" t="s">
        <v>543</v>
      </c>
      <c r="AD15" s="146"/>
      <c r="AE15" s="147"/>
      <c r="AF15" s="162"/>
      <c r="AG15" s="165"/>
      <c r="AH15" s="165"/>
      <c r="AI15" s="165"/>
      <c r="AJ15" s="303"/>
      <c r="AK15" s="319"/>
      <c r="AL15" s="145" t="s">
        <v>545</v>
      </c>
      <c r="AM15" s="146"/>
      <c r="AN15" s="147"/>
      <c r="AO15" s="175"/>
      <c r="AP15" s="171"/>
      <c r="AQ15" s="171"/>
      <c r="AR15" s="175"/>
      <c r="AS15" s="171"/>
      <c r="AT15" s="147" t="s">
        <v>174</v>
      </c>
      <c r="AU15" s="143"/>
      <c r="AV15" s="143"/>
      <c r="AW15" s="143"/>
      <c r="AX15" s="143"/>
      <c r="AY15" s="143"/>
      <c r="AZ15" s="155">
        <f>AS57-AZ16</f>
        <v>0</v>
      </c>
      <c r="BA15" s="288"/>
      <c r="BB15" s="284">
        <f>AZ15*BA15</f>
        <v>0</v>
      </c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</row>
    <row r="16" spans="1:113" ht="12.75">
      <c r="A16" s="171">
        <v>1</v>
      </c>
      <c r="B16" s="143" t="s">
        <v>249</v>
      </c>
      <c r="C16" s="197">
        <v>804152757</v>
      </c>
      <c r="D16" s="230">
        <v>4057.7205</v>
      </c>
      <c r="E16" s="230">
        <v>4145.3465</v>
      </c>
      <c r="F16" s="155">
        <v>36000</v>
      </c>
      <c r="G16" s="252">
        <f>E16-D16</f>
        <v>87.62599999999975</v>
      </c>
      <c r="H16" s="96"/>
      <c r="I16" s="155">
        <f>ROUND((F16*G16+H16),0)</f>
        <v>3154536</v>
      </c>
      <c r="J16" s="103"/>
      <c r="K16" s="148"/>
      <c r="L16" s="148" t="s">
        <v>209</v>
      </c>
      <c r="M16" s="148"/>
      <c r="N16" s="148"/>
      <c r="O16" s="148"/>
      <c r="P16" s="148"/>
      <c r="Q16" s="148"/>
      <c r="R16" s="149"/>
      <c r="S16" s="157" t="s">
        <v>146</v>
      </c>
      <c r="T16" s="159" t="s">
        <v>122</v>
      </c>
      <c r="U16" s="160"/>
      <c r="V16" s="160"/>
      <c r="W16" s="163">
        <f t="shared" si="0"/>
        <v>221402</v>
      </c>
      <c r="X16" s="186">
        <f>ROUND(I27,0)</f>
        <v>221402</v>
      </c>
      <c r="Y16" s="168">
        <v>0</v>
      </c>
      <c r="Z16" s="163">
        <v>0</v>
      </c>
      <c r="AA16" s="168">
        <v>0</v>
      </c>
      <c r="AB16" s="157" t="s">
        <v>145</v>
      </c>
      <c r="AC16" s="159" t="s">
        <v>343</v>
      </c>
      <c r="AD16" s="160"/>
      <c r="AE16" s="161"/>
      <c r="AF16" s="163">
        <f>AG16+AH16+AI16+AJ16</f>
        <v>168588</v>
      </c>
      <c r="AG16" s="163">
        <v>168588</v>
      </c>
      <c r="AH16" s="168">
        <v>0</v>
      </c>
      <c r="AI16" s="163">
        <v>0</v>
      </c>
      <c r="AJ16" s="192">
        <v>0</v>
      </c>
      <c r="AK16" s="157" t="s">
        <v>145</v>
      </c>
      <c r="AL16" s="159" t="s">
        <v>84</v>
      </c>
      <c r="AM16" s="160"/>
      <c r="AN16" s="161"/>
      <c r="AO16" s="163">
        <f>AP16+AQ16+AR16+AS16</f>
        <v>166</v>
      </c>
      <c r="AP16" s="168">
        <v>0</v>
      </c>
      <c r="AQ16" s="168">
        <v>0</v>
      </c>
      <c r="AR16" s="163">
        <v>166</v>
      </c>
      <c r="AS16" s="168">
        <v>0</v>
      </c>
      <c r="AT16" s="147" t="s">
        <v>174</v>
      </c>
      <c r="AU16" s="143"/>
      <c r="AV16" s="143"/>
      <c r="AW16" s="143"/>
      <c r="AX16" s="143"/>
      <c r="AY16" s="143"/>
      <c r="AZ16" s="155">
        <f>AS57/100*80</f>
        <v>0</v>
      </c>
      <c r="BA16" s="289"/>
      <c r="BB16" s="284">
        <f>AZ16*BA16</f>
        <v>0</v>
      </c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</row>
    <row r="17" spans="1:113" ht="12.75">
      <c r="A17" s="144"/>
      <c r="B17" s="103" t="s">
        <v>250</v>
      </c>
      <c r="C17" s="213">
        <v>109054169</v>
      </c>
      <c r="D17" s="230">
        <v>6252.018</v>
      </c>
      <c r="E17" s="230">
        <v>6425.5031</v>
      </c>
      <c r="F17" s="155">
        <v>36000</v>
      </c>
      <c r="G17" s="252">
        <f>E17-D17</f>
        <v>173.48509999999987</v>
      </c>
      <c r="H17" s="96"/>
      <c r="I17" s="155">
        <f>F17*G17+H17</f>
        <v>6245463.599999996</v>
      </c>
      <c r="J17" s="96"/>
      <c r="K17" s="102" t="s">
        <v>210</v>
      </c>
      <c r="L17" s="150"/>
      <c r="M17" s="150"/>
      <c r="N17" s="150"/>
      <c r="O17" s="150"/>
      <c r="P17" s="150"/>
      <c r="Q17" s="150"/>
      <c r="R17" s="151"/>
      <c r="S17" s="157" t="s">
        <v>147</v>
      </c>
      <c r="T17" s="159" t="s">
        <v>123</v>
      </c>
      <c r="U17" s="160"/>
      <c r="V17" s="160"/>
      <c r="W17" s="163">
        <f t="shared" si="0"/>
        <v>245368</v>
      </c>
      <c r="X17" s="186">
        <f>ROUND(I29,0)</f>
        <v>245368</v>
      </c>
      <c r="Y17" s="168">
        <v>0</v>
      </c>
      <c r="Z17" s="163">
        <v>0</v>
      </c>
      <c r="AA17" s="168">
        <v>0</v>
      </c>
      <c r="AB17" s="157" t="s">
        <v>146</v>
      </c>
      <c r="AC17" s="159" t="s">
        <v>172</v>
      </c>
      <c r="AD17" s="160"/>
      <c r="AE17" s="161"/>
      <c r="AF17" s="163">
        <f>AG17+AH17+AI17+AJ17</f>
        <v>2903</v>
      </c>
      <c r="AG17" s="168">
        <v>0</v>
      </c>
      <c r="AH17" s="168">
        <v>0</v>
      </c>
      <c r="AI17" s="163">
        <v>2903</v>
      </c>
      <c r="AJ17" s="192">
        <v>0</v>
      </c>
      <c r="AK17" s="157" t="s">
        <v>146</v>
      </c>
      <c r="AL17" s="159" t="s">
        <v>277</v>
      </c>
      <c r="AM17" s="160"/>
      <c r="AN17" s="161"/>
      <c r="AO17" s="163">
        <f>AP17+AQ17+AR17+AS17</f>
        <v>8274</v>
      </c>
      <c r="AP17" s="168">
        <v>0</v>
      </c>
      <c r="AQ17" s="168">
        <v>0</v>
      </c>
      <c r="AR17" s="163">
        <v>8274</v>
      </c>
      <c r="AS17" s="168">
        <v>0</v>
      </c>
      <c r="AT17" s="146" t="s">
        <v>141</v>
      </c>
      <c r="AU17" s="146"/>
      <c r="AV17" s="146"/>
      <c r="AW17" s="146"/>
      <c r="AX17" s="146"/>
      <c r="AY17" s="147"/>
      <c r="AZ17" s="280">
        <f>R21</f>
        <v>280</v>
      </c>
      <c r="BA17" s="290">
        <v>2.7083333</v>
      </c>
      <c r="BB17" s="284">
        <f>AZ17*BA17</f>
        <v>758.3333240000001</v>
      </c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</row>
    <row r="18" spans="1:113" ht="12.75">
      <c r="A18" s="102"/>
      <c r="B18" s="150"/>
      <c r="C18" s="148"/>
      <c r="D18" s="150"/>
      <c r="E18" s="150"/>
      <c r="F18" s="214" t="s">
        <v>212</v>
      </c>
      <c r="G18" s="150"/>
      <c r="H18" s="151"/>
      <c r="I18" s="155">
        <f>ROUND((I16+I17+I22),0)</f>
        <v>9479655</v>
      </c>
      <c r="J18" s="152">
        <v>1</v>
      </c>
      <c r="K18" s="102" t="s">
        <v>211</v>
      </c>
      <c r="L18" s="150"/>
      <c r="M18" s="150"/>
      <c r="N18" s="150"/>
      <c r="O18" s="150"/>
      <c r="P18" s="150"/>
      <c r="Q18" s="150"/>
      <c r="R18" s="151"/>
      <c r="S18" s="157" t="s">
        <v>148</v>
      </c>
      <c r="T18" s="159" t="s">
        <v>124</v>
      </c>
      <c r="U18" s="160"/>
      <c r="V18" s="160"/>
      <c r="W18" s="163">
        <f t="shared" si="0"/>
        <v>83680</v>
      </c>
      <c r="X18" s="186">
        <f>ROUND(I31,0)</f>
        <v>83680</v>
      </c>
      <c r="Y18" s="168">
        <v>0</v>
      </c>
      <c r="Z18" s="163">
        <v>0</v>
      </c>
      <c r="AA18" s="168">
        <v>0</v>
      </c>
      <c r="AB18" s="158" t="s">
        <v>147</v>
      </c>
      <c r="AC18" s="148" t="s">
        <v>156</v>
      </c>
      <c r="AD18" s="148"/>
      <c r="AE18" s="148"/>
      <c r="AF18" s="164">
        <f>AG18+AH18+AI18+AJ18</f>
        <v>5494</v>
      </c>
      <c r="AG18" s="169">
        <v>0</v>
      </c>
      <c r="AH18" s="169">
        <v>0</v>
      </c>
      <c r="AI18" s="164">
        <v>5494</v>
      </c>
      <c r="AJ18" s="318">
        <v>0</v>
      </c>
      <c r="AK18" s="157" t="s">
        <v>147</v>
      </c>
      <c r="AL18" s="159" t="s">
        <v>135</v>
      </c>
      <c r="AM18" s="160"/>
      <c r="AN18" s="161"/>
      <c r="AO18" s="163">
        <f>AP18+AQ18+AR18+AS18</f>
        <v>45375</v>
      </c>
      <c r="AP18" s="168">
        <v>0</v>
      </c>
      <c r="AQ18" s="168">
        <v>0</v>
      </c>
      <c r="AR18" s="163">
        <v>45375</v>
      </c>
      <c r="AS18" s="168">
        <v>0</v>
      </c>
      <c r="AT18" s="146" t="s">
        <v>142</v>
      </c>
      <c r="AU18" s="146"/>
      <c r="AV18" s="146"/>
      <c r="AW18" s="146"/>
      <c r="AX18" s="146"/>
      <c r="AY18" s="147"/>
      <c r="AZ18" s="280">
        <f>R22</f>
        <v>40</v>
      </c>
      <c r="BA18" s="290">
        <v>1.28333</v>
      </c>
      <c r="BB18" s="284">
        <f>AZ18*BA18</f>
        <v>51.333200000000005</v>
      </c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</row>
    <row r="19" spans="1:113" ht="12.75">
      <c r="A19" s="96" t="s">
        <v>213</v>
      </c>
      <c r="B19" s="102" t="s">
        <v>466</v>
      </c>
      <c r="C19" s="150"/>
      <c r="D19" s="150"/>
      <c r="E19" s="150"/>
      <c r="F19" s="150"/>
      <c r="G19" s="150"/>
      <c r="H19" s="150"/>
      <c r="I19" s="151"/>
      <c r="J19" s="171" t="s">
        <v>213</v>
      </c>
      <c r="K19" s="143" t="s">
        <v>290</v>
      </c>
      <c r="L19" s="171">
        <v>16654</v>
      </c>
      <c r="M19" s="234">
        <v>4865</v>
      </c>
      <c r="N19" s="234">
        <v>4957</v>
      </c>
      <c r="O19" s="171">
        <v>1</v>
      </c>
      <c r="P19" s="258">
        <f>N19-M19</f>
        <v>92</v>
      </c>
      <c r="Q19" s="259"/>
      <c r="R19" s="175">
        <f>O19*P19+Q19</f>
        <v>92</v>
      </c>
      <c r="S19" s="157" t="s">
        <v>153</v>
      </c>
      <c r="T19" s="159" t="s">
        <v>125</v>
      </c>
      <c r="U19" s="160"/>
      <c r="V19" s="160"/>
      <c r="W19" s="163">
        <f t="shared" si="0"/>
        <v>173669</v>
      </c>
      <c r="X19" s="186">
        <f>ROUND(I33,0)</f>
        <v>173669</v>
      </c>
      <c r="Y19" s="168">
        <v>0</v>
      </c>
      <c r="Z19" s="168">
        <v>0</v>
      </c>
      <c r="AA19" s="168">
        <v>0</v>
      </c>
      <c r="AB19" s="179"/>
      <c r="AC19" s="160"/>
      <c r="AD19" s="160"/>
      <c r="AE19" s="160"/>
      <c r="AF19" s="180"/>
      <c r="AG19" s="181"/>
      <c r="AH19" s="181"/>
      <c r="AI19" s="180"/>
      <c r="AJ19" s="181"/>
      <c r="AK19" s="157" t="s">
        <v>148</v>
      </c>
      <c r="AL19" s="159" t="s">
        <v>158</v>
      </c>
      <c r="AM19" s="160"/>
      <c r="AN19" s="161"/>
      <c r="AO19" s="163">
        <f>AP19+AQ19+AR19+AS19</f>
        <v>773</v>
      </c>
      <c r="AP19" s="163">
        <v>0</v>
      </c>
      <c r="AQ19" s="168">
        <v>0</v>
      </c>
      <c r="AR19" s="163">
        <v>773</v>
      </c>
      <c r="AS19" s="168">
        <v>0</v>
      </c>
      <c r="AT19" s="146" t="s">
        <v>182</v>
      </c>
      <c r="AU19" s="146"/>
      <c r="AV19" s="146"/>
      <c r="AW19" s="146"/>
      <c r="AX19" s="146"/>
      <c r="AY19" s="147"/>
      <c r="AZ19" s="291">
        <f>R19+R20</f>
        <v>92</v>
      </c>
      <c r="BA19" s="285">
        <v>5.94874</v>
      </c>
      <c r="BB19" s="284">
        <f>AZ19*BA19</f>
        <v>547.28408</v>
      </c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</row>
    <row r="20" spans="1:113" ht="12.75">
      <c r="A20" s="96" t="s">
        <v>215</v>
      </c>
      <c r="B20" s="96" t="s">
        <v>216</v>
      </c>
      <c r="C20" s="213">
        <v>109053225</v>
      </c>
      <c r="D20" s="230">
        <v>18027.9983</v>
      </c>
      <c r="E20" s="230">
        <v>18166.4838</v>
      </c>
      <c r="F20" s="155">
        <v>21000</v>
      </c>
      <c r="G20" s="252">
        <f>E20-D20</f>
        <v>138.4855000000025</v>
      </c>
      <c r="H20" s="96"/>
      <c r="I20" s="155">
        <f>ROUND((F20*G20+H20),0)</f>
        <v>2908196</v>
      </c>
      <c r="J20" s="144"/>
      <c r="K20" s="144" t="s">
        <v>291</v>
      </c>
      <c r="L20" s="144"/>
      <c r="M20" s="144"/>
      <c r="N20" s="144"/>
      <c r="O20" s="144"/>
      <c r="P20" s="185"/>
      <c r="Q20" s="260"/>
      <c r="R20" s="276"/>
      <c r="S20" s="157" t="s">
        <v>157</v>
      </c>
      <c r="T20" s="159" t="s">
        <v>126</v>
      </c>
      <c r="U20" s="160"/>
      <c r="V20" s="160"/>
      <c r="W20" s="163">
        <f t="shared" si="0"/>
        <v>570361</v>
      </c>
      <c r="X20" s="186">
        <f>ROUND(I35,0)</f>
        <v>570361</v>
      </c>
      <c r="Y20" s="168">
        <v>0</v>
      </c>
      <c r="Z20" s="163">
        <v>0</v>
      </c>
      <c r="AA20" s="168">
        <v>0</v>
      </c>
      <c r="AB20" s="179"/>
      <c r="AC20" s="160"/>
      <c r="AD20" s="160"/>
      <c r="AE20" s="160"/>
      <c r="AF20" s="180"/>
      <c r="AG20" s="180"/>
      <c r="AH20" s="181"/>
      <c r="AI20" s="180"/>
      <c r="AJ20" s="181"/>
      <c r="AK20" s="158" t="s">
        <v>153</v>
      </c>
      <c r="AL20" s="103" t="s">
        <v>544</v>
      </c>
      <c r="AM20" s="148"/>
      <c r="AN20" s="149"/>
      <c r="AO20" s="164">
        <f>AP20+AQ20+AR20+AS20</f>
        <v>15918</v>
      </c>
      <c r="AP20" s="164"/>
      <c r="AQ20" s="169"/>
      <c r="AR20" s="164">
        <v>15918</v>
      </c>
      <c r="AS20" s="169"/>
      <c r="AT20" s="146" t="s">
        <v>416</v>
      </c>
      <c r="AU20" s="146"/>
      <c r="AV20" s="146"/>
      <c r="AW20" s="146"/>
      <c r="AX20" s="146"/>
      <c r="AY20" s="147"/>
      <c r="AZ20" s="280"/>
      <c r="BA20" s="290"/>
      <c r="BB20" s="279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</row>
    <row r="21" spans="1:113" ht="12.75">
      <c r="A21" s="96" t="s">
        <v>521</v>
      </c>
      <c r="B21" s="150" t="s">
        <v>524</v>
      </c>
      <c r="C21" s="148"/>
      <c r="D21" s="150"/>
      <c r="E21" s="150"/>
      <c r="F21" s="214"/>
      <c r="G21" s="150"/>
      <c r="H21" s="151"/>
      <c r="I21" s="155"/>
      <c r="J21" s="143" t="s">
        <v>219</v>
      </c>
      <c r="K21" s="143" t="s">
        <v>293</v>
      </c>
      <c r="L21" s="377">
        <v>122848480</v>
      </c>
      <c r="M21" s="376">
        <v>406</v>
      </c>
      <c r="N21" s="376">
        <v>420</v>
      </c>
      <c r="O21" s="152">
        <v>20</v>
      </c>
      <c r="P21" s="375">
        <f>N21-M21</f>
        <v>14</v>
      </c>
      <c r="Q21" s="261"/>
      <c r="R21" s="155">
        <f>O21*P21+Q21</f>
        <v>280</v>
      </c>
      <c r="S21" s="157" t="s">
        <v>161</v>
      </c>
      <c r="T21" s="159" t="s">
        <v>127</v>
      </c>
      <c r="U21" s="160"/>
      <c r="V21" s="160"/>
      <c r="W21" s="163">
        <f t="shared" si="0"/>
        <v>164316</v>
      </c>
      <c r="X21" s="186">
        <f>ROUND(I37,0)</f>
        <v>164316</v>
      </c>
      <c r="Y21" s="168">
        <v>0</v>
      </c>
      <c r="Z21" s="163">
        <v>0</v>
      </c>
      <c r="AA21" s="168">
        <v>0</v>
      </c>
      <c r="AB21" s="179"/>
      <c r="AC21" s="160"/>
      <c r="AD21" s="160"/>
      <c r="AE21" s="160"/>
      <c r="AF21" s="180"/>
      <c r="AG21" s="180"/>
      <c r="AH21" s="181"/>
      <c r="AI21" s="180"/>
      <c r="AJ21" s="181"/>
      <c r="AK21" s="179"/>
      <c r="AL21" s="160"/>
      <c r="AM21" s="160"/>
      <c r="AN21" s="160"/>
      <c r="AO21" s="180"/>
      <c r="AP21" s="181"/>
      <c r="AQ21" s="182"/>
      <c r="AR21" s="180"/>
      <c r="AS21" s="181"/>
      <c r="AT21" s="102"/>
      <c r="AU21" s="146"/>
      <c r="AV21" s="146"/>
      <c r="AW21" s="146"/>
      <c r="AX21" s="146"/>
      <c r="AY21" s="147"/>
      <c r="AZ21" s="280"/>
      <c r="BA21" s="290"/>
      <c r="BB21" s="279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</row>
    <row r="22" spans="1:113" ht="12.75">
      <c r="A22" s="96" t="s">
        <v>522</v>
      </c>
      <c r="B22" s="102" t="s">
        <v>525</v>
      </c>
      <c r="C22" s="150"/>
      <c r="D22" s="150"/>
      <c r="E22" s="150"/>
      <c r="F22" s="150"/>
      <c r="G22" s="150"/>
      <c r="H22" s="151"/>
      <c r="I22" s="280">
        <v>79655</v>
      </c>
      <c r="J22" s="144"/>
      <c r="K22" s="144" t="s">
        <v>292</v>
      </c>
      <c r="L22" s="377">
        <v>122848480</v>
      </c>
      <c r="M22" s="376">
        <v>104</v>
      </c>
      <c r="N22" s="376">
        <v>106</v>
      </c>
      <c r="O22" s="152">
        <v>20</v>
      </c>
      <c r="P22" s="375">
        <f>N22-M22</f>
        <v>2</v>
      </c>
      <c r="Q22" s="261"/>
      <c r="R22" s="155">
        <f>O22*P22+Q22</f>
        <v>40</v>
      </c>
      <c r="S22" s="157" t="s">
        <v>162</v>
      </c>
      <c r="T22" s="159" t="s">
        <v>128</v>
      </c>
      <c r="U22" s="160"/>
      <c r="V22" s="160"/>
      <c r="W22" s="163">
        <f t="shared" si="0"/>
        <v>506804</v>
      </c>
      <c r="X22" s="186">
        <f>ROUND(I39,0)</f>
        <v>506804</v>
      </c>
      <c r="Y22" s="168">
        <v>0</v>
      </c>
      <c r="Z22" s="168">
        <v>0</v>
      </c>
      <c r="AA22" s="168">
        <v>0</v>
      </c>
      <c r="AB22" s="179"/>
      <c r="AC22" s="160"/>
      <c r="AD22" s="160"/>
      <c r="AE22" s="160"/>
      <c r="AF22" s="180"/>
      <c r="AG22" s="181"/>
      <c r="AH22" s="181"/>
      <c r="AI22" s="180"/>
      <c r="AJ22" s="181"/>
      <c r="AK22" s="179"/>
      <c r="AL22" s="160"/>
      <c r="AM22" s="160"/>
      <c r="AN22" s="160"/>
      <c r="AO22" s="180"/>
      <c r="AP22" s="181"/>
      <c r="AQ22" s="182"/>
      <c r="AR22" s="180"/>
      <c r="AS22" s="181"/>
      <c r="AT22" s="255" t="s">
        <v>22</v>
      </c>
      <c r="AU22" s="256"/>
      <c r="AV22" s="256"/>
      <c r="AW22" s="256"/>
      <c r="AX22" s="146"/>
      <c r="AY22" s="147"/>
      <c r="AZ22" s="280"/>
      <c r="BA22" s="293"/>
      <c r="BB22" s="29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</row>
    <row r="23" spans="1:113" ht="12.75">
      <c r="A23" s="102"/>
      <c r="B23" s="102"/>
      <c r="C23" s="371"/>
      <c r="D23" s="372"/>
      <c r="E23" s="372"/>
      <c r="F23" s="373"/>
      <c r="G23" s="374"/>
      <c r="H23" s="151"/>
      <c r="I23" s="280"/>
      <c r="J23" s="102"/>
      <c r="K23" s="245"/>
      <c r="L23" s="245"/>
      <c r="M23" s="245"/>
      <c r="N23" s="245"/>
      <c r="O23" s="245"/>
      <c r="P23" s="246" t="s">
        <v>274</v>
      </c>
      <c r="Q23" s="247"/>
      <c r="R23" s="155">
        <f>R19+R21+R22+R20</f>
        <v>412</v>
      </c>
      <c r="S23" s="157" t="s">
        <v>163</v>
      </c>
      <c r="T23" s="159" t="s">
        <v>129</v>
      </c>
      <c r="U23" s="160"/>
      <c r="V23" s="160"/>
      <c r="W23" s="163">
        <f t="shared" si="0"/>
        <v>647991</v>
      </c>
      <c r="X23" s="186">
        <v>0</v>
      </c>
      <c r="Y23" s="168">
        <v>0</v>
      </c>
      <c r="Z23" s="163">
        <f>I26+I25</f>
        <v>647991</v>
      </c>
      <c r="AA23" s="168">
        <v>0</v>
      </c>
      <c r="AB23" s="179"/>
      <c r="AC23" s="160"/>
      <c r="AD23" s="160"/>
      <c r="AE23" s="160"/>
      <c r="AF23" s="180"/>
      <c r="AG23" s="181"/>
      <c r="AH23" s="182"/>
      <c r="AI23" s="180"/>
      <c r="AJ23" s="181"/>
      <c r="AK23" s="179"/>
      <c r="AL23" s="160"/>
      <c r="AM23" s="160"/>
      <c r="AN23" s="160"/>
      <c r="AO23" s="180"/>
      <c r="AP23" s="181"/>
      <c r="AQ23" s="182"/>
      <c r="AR23" s="180"/>
      <c r="AS23" s="181"/>
      <c r="AT23" s="145" t="s">
        <v>23</v>
      </c>
      <c r="AU23" s="146"/>
      <c r="AV23" s="146"/>
      <c r="AW23" s="146"/>
      <c r="AX23" s="146"/>
      <c r="AY23" s="147"/>
      <c r="AZ23" s="280"/>
      <c r="BA23" s="293"/>
      <c r="BB23" s="279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</row>
    <row r="24" spans="1:113" ht="12.75">
      <c r="A24" s="96" t="s">
        <v>219</v>
      </c>
      <c r="B24" s="103" t="s">
        <v>220</v>
      </c>
      <c r="C24" s="148"/>
      <c r="D24" s="148"/>
      <c r="E24" s="148"/>
      <c r="F24" s="148"/>
      <c r="G24" s="148"/>
      <c r="H24" s="148"/>
      <c r="I24" s="151"/>
      <c r="J24" s="145"/>
      <c r="K24" s="146"/>
      <c r="L24" s="146"/>
      <c r="M24" s="146"/>
      <c r="N24" s="146"/>
      <c r="O24" s="146"/>
      <c r="P24" s="248"/>
      <c r="Q24" s="249"/>
      <c r="R24" s="250"/>
      <c r="S24" s="157" t="s">
        <v>164</v>
      </c>
      <c r="T24" s="160" t="s">
        <v>130</v>
      </c>
      <c r="U24" s="160"/>
      <c r="V24" s="160"/>
      <c r="W24" s="163">
        <f t="shared" si="0"/>
        <v>1176</v>
      </c>
      <c r="X24" s="186">
        <v>0</v>
      </c>
      <c r="Y24" s="168">
        <v>0</v>
      </c>
      <c r="Z24" s="163">
        <f>I41</f>
        <v>1176</v>
      </c>
      <c r="AA24" s="168">
        <v>0</v>
      </c>
      <c r="AB24" s="153"/>
      <c r="AC24" s="120" t="s">
        <v>189</v>
      </c>
      <c r="AD24" s="120"/>
      <c r="AE24" s="120"/>
      <c r="AF24" s="154"/>
      <c r="AG24" s="154"/>
      <c r="AH24" s="154"/>
      <c r="AI24" s="154"/>
      <c r="AJ24" s="154"/>
      <c r="AK24" s="153"/>
      <c r="AL24" s="120" t="s">
        <v>278</v>
      </c>
      <c r="AM24" s="120"/>
      <c r="AN24" s="120"/>
      <c r="AO24" s="154"/>
      <c r="AP24" s="154"/>
      <c r="AQ24" s="154"/>
      <c r="AR24" s="154"/>
      <c r="AS24" s="154"/>
      <c r="AT24" s="262" t="s">
        <v>139</v>
      </c>
      <c r="AU24" s="245"/>
      <c r="AV24" s="245"/>
      <c r="AW24" s="245"/>
      <c r="AX24" s="245"/>
      <c r="AY24" s="263"/>
      <c r="AZ24" s="295"/>
      <c r="BA24" s="287"/>
      <c r="BB24" s="28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</row>
    <row r="25" spans="1:113" ht="12.75">
      <c r="A25" s="143" t="s">
        <v>221</v>
      </c>
      <c r="B25" s="143" t="s">
        <v>224</v>
      </c>
      <c r="C25" s="197"/>
      <c r="D25" s="323"/>
      <c r="E25" s="323"/>
      <c r="F25" s="164"/>
      <c r="G25" s="324"/>
      <c r="H25" s="164"/>
      <c r="I25" s="164"/>
      <c r="J25" s="159" t="s">
        <v>275</v>
      </c>
      <c r="K25" s="160"/>
      <c r="L25" s="160"/>
      <c r="M25" s="160"/>
      <c r="N25" s="160"/>
      <c r="O25" s="160"/>
      <c r="P25" s="190"/>
      <c r="Q25" s="238"/>
      <c r="R25" s="251"/>
      <c r="S25" s="157" t="s">
        <v>165</v>
      </c>
      <c r="T25" s="160" t="s">
        <v>131</v>
      </c>
      <c r="U25" s="160"/>
      <c r="V25" s="160"/>
      <c r="W25" s="163">
        <f t="shared" si="0"/>
        <v>134926</v>
      </c>
      <c r="X25" s="186">
        <v>0</v>
      </c>
      <c r="Y25" s="168">
        <v>0</v>
      </c>
      <c r="Z25" s="163">
        <f>I43</f>
        <v>134926</v>
      </c>
      <c r="AA25" s="168">
        <v>0</v>
      </c>
      <c r="AB25" s="153"/>
      <c r="AC25" s="120" t="s">
        <v>533</v>
      </c>
      <c r="AD25" s="120"/>
      <c r="AE25" s="120"/>
      <c r="AF25" s="120"/>
      <c r="AG25" s="120"/>
      <c r="AH25" s="120"/>
      <c r="AI25" s="120"/>
      <c r="AJ25" s="120"/>
      <c r="AK25" s="153"/>
      <c r="AL25" s="120" t="s">
        <v>533</v>
      </c>
      <c r="AM25" s="120"/>
      <c r="AN25" s="120"/>
      <c r="AO25" s="120"/>
      <c r="AP25" s="120"/>
      <c r="AQ25" s="120"/>
      <c r="AR25" s="120"/>
      <c r="AS25" s="120"/>
      <c r="AT25" s="103" t="s">
        <v>183</v>
      </c>
      <c r="AU25" s="148"/>
      <c r="AV25" s="148"/>
      <c r="AW25" s="148"/>
      <c r="AX25" s="148"/>
      <c r="AY25" s="149"/>
      <c r="AZ25" s="296">
        <v>7.91</v>
      </c>
      <c r="BA25" s="297">
        <v>35268</v>
      </c>
      <c r="BB25" s="284">
        <f>AZ25*BA25</f>
        <v>278969.88</v>
      </c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</row>
    <row r="26" spans="1:113" ht="12.75">
      <c r="A26" s="144"/>
      <c r="B26" s="144" t="s">
        <v>222</v>
      </c>
      <c r="C26" s="198">
        <v>109056121</v>
      </c>
      <c r="D26" s="323">
        <v>20643.9593</v>
      </c>
      <c r="E26" s="323">
        <v>20778.9574</v>
      </c>
      <c r="F26" s="164">
        <v>4800</v>
      </c>
      <c r="G26" s="324">
        <f aca="true" t="shared" si="1" ref="G26:G43">E26-D26</f>
        <v>134.9981000000007</v>
      </c>
      <c r="H26" s="164"/>
      <c r="I26" s="164">
        <f>ROUND(F26*G26+H26,0)</f>
        <v>647991</v>
      </c>
      <c r="J26" s="222" t="s">
        <v>548</v>
      </c>
      <c r="K26" s="223"/>
      <c r="L26" s="223"/>
      <c r="M26" s="191"/>
      <c r="N26" s="148"/>
      <c r="O26" s="148"/>
      <c r="P26" s="148"/>
      <c r="Q26" s="148"/>
      <c r="R26" s="209"/>
      <c r="S26" s="158" t="s">
        <v>166</v>
      </c>
      <c r="T26" s="148" t="s">
        <v>132</v>
      </c>
      <c r="U26" s="148"/>
      <c r="V26" s="148"/>
      <c r="W26" s="164">
        <f>SUM(X26:AA26)</f>
        <v>26772</v>
      </c>
      <c r="X26" s="187">
        <v>0</v>
      </c>
      <c r="Y26" s="169">
        <v>0</v>
      </c>
      <c r="Z26" s="164">
        <f>I45+I46</f>
        <v>26772</v>
      </c>
      <c r="AA26" s="169">
        <v>0</v>
      </c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02" t="s">
        <v>184</v>
      </c>
      <c r="AU26" s="150"/>
      <c r="AV26" s="150"/>
      <c r="AW26" s="150"/>
      <c r="AX26" s="160"/>
      <c r="AY26" s="161"/>
      <c r="AZ26" s="296">
        <f>(X14+AG14+AP14)/1000</f>
        <v>5042.384</v>
      </c>
      <c r="BA26" s="279">
        <v>17</v>
      </c>
      <c r="BB26" s="284">
        <f>AZ26*BA26</f>
        <v>85720.528</v>
      </c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</row>
    <row r="27" spans="1:113" ht="12.75">
      <c r="A27" s="143" t="s">
        <v>223</v>
      </c>
      <c r="B27" s="143" t="s">
        <v>235</v>
      </c>
      <c r="C27" s="197">
        <v>623125232</v>
      </c>
      <c r="D27" s="325">
        <v>8928.7493</v>
      </c>
      <c r="E27" s="325">
        <v>9051.7504</v>
      </c>
      <c r="F27" s="175">
        <v>1800</v>
      </c>
      <c r="G27" s="326">
        <f t="shared" si="1"/>
        <v>123.00110000000132</v>
      </c>
      <c r="H27" s="171"/>
      <c r="I27" s="175">
        <f>ROUND(G27*F27,0)</f>
        <v>221402</v>
      </c>
      <c r="J27" s="120"/>
      <c r="K27" s="160"/>
      <c r="L27" s="160"/>
      <c r="M27" s="160"/>
      <c r="N27" s="160"/>
      <c r="O27" s="160"/>
      <c r="P27" s="190"/>
      <c r="Q27" s="238"/>
      <c r="R27" s="237"/>
      <c r="S27" s="179"/>
      <c r="T27" s="160"/>
      <c r="U27" s="160"/>
      <c r="V27" s="160"/>
      <c r="W27" s="180"/>
      <c r="X27" s="180"/>
      <c r="Y27" s="181"/>
      <c r="Z27" s="180"/>
      <c r="AA27" s="181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03" t="s">
        <v>185</v>
      </c>
      <c r="AU27" s="148"/>
      <c r="AV27" s="148"/>
      <c r="AW27" s="148"/>
      <c r="AX27" s="146"/>
      <c r="AY27" s="147"/>
      <c r="AZ27" s="296">
        <v>2.26</v>
      </c>
      <c r="BA27" s="279">
        <v>35268</v>
      </c>
      <c r="BB27" s="279">
        <f>AZ27*BA27</f>
        <v>79705.68</v>
      </c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</row>
    <row r="28" spans="1:113" ht="12.75">
      <c r="A28" s="144"/>
      <c r="B28" s="144" t="s">
        <v>222</v>
      </c>
      <c r="C28" s="169"/>
      <c r="D28" s="228"/>
      <c r="E28" s="228"/>
      <c r="F28" s="164"/>
      <c r="G28" s="227"/>
      <c r="H28" s="169"/>
      <c r="I28" s="164"/>
      <c r="J28" s="160" t="s">
        <v>279</v>
      </c>
      <c r="K28" s="160"/>
      <c r="L28" s="264"/>
      <c r="M28" s="181"/>
      <c r="N28" s="265"/>
      <c r="O28" s="265"/>
      <c r="P28" s="188"/>
      <c r="Q28" s="160"/>
      <c r="R28" s="190"/>
      <c r="S28" s="120"/>
      <c r="T28" s="120"/>
      <c r="U28" s="120"/>
      <c r="V28" s="120"/>
      <c r="W28" s="120"/>
      <c r="X28" s="120"/>
      <c r="Y28" s="120"/>
      <c r="Z28" s="120"/>
      <c r="AA28" s="120"/>
      <c r="AB28" s="120" t="s">
        <v>447</v>
      </c>
      <c r="AC28" s="120"/>
      <c r="AD28" s="120"/>
      <c r="AE28" s="120"/>
      <c r="AF28" s="120"/>
      <c r="AG28" s="120" t="s">
        <v>450</v>
      </c>
      <c r="AH28" s="120"/>
      <c r="AI28" s="120" t="s">
        <v>451</v>
      </c>
      <c r="AJ28" s="120"/>
      <c r="AK28" s="120" t="s">
        <v>447</v>
      </c>
      <c r="AL28" s="120"/>
      <c r="AM28" s="120"/>
      <c r="AN28" s="120"/>
      <c r="AO28" s="120"/>
      <c r="AP28" s="120" t="s">
        <v>151</v>
      </c>
      <c r="AQ28" s="120"/>
      <c r="AR28" s="120" t="s">
        <v>152</v>
      </c>
      <c r="AS28" s="120"/>
      <c r="AT28" s="159" t="s">
        <v>186</v>
      </c>
      <c r="AU28" s="160"/>
      <c r="AV28" s="160"/>
      <c r="AW28" s="160"/>
      <c r="AX28" s="146"/>
      <c r="AY28" s="147"/>
      <c r="AZ28" s="296">
        <f>(Z14+AI14+AR14)/1000</f>
        <v>889.768</v>
      </c>
      <c r="BA28" s="279">
        <v>17</v>
      </c>
      <c r="BB28" s="284">
        <f>AZ28*BA28</f>
        <v>15126.056</v>
      </c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</row>
    <row r="29" spans="1:113" ht="12.75">
      <c r="A29" s="143" t="s">
        <v>225</v>
      </c>
      <c r="B29" s="143" t="s">
        <v>236</v>
      </c>
      <c r="C29" s="197">
        <v>623125667</v>
      </c>
      <c r="D29" s="325">
        <v>9549.2991</v>
      </c>
      <c r="E29" s="325">
        <v>9685.6147</v>
      </c>
      <c r="F29" s="175">
        <v>1800</v>
      </c>
      <c r="G29" s="326">
        <f t="shared" si="1"/>
        <v>136.3155999999999</v>
      </c>
      <c r="H29" s="171"/>
      <c r="I29" s="175">
        <f>ROUND(G29*F29,0)</f>
        <v>245368</v>
      </c>
      <c r="J29" s="160"/>
      <c r="K29" s="160"/>
      <c r="L29" s="181"/>
      <c r="M29" s="181"/>
      <c r="N29" s="188"/>
      <c r="O29" s="188"/>
      <c r="P29" s="188"/>
      <c r="Q29" s="160"/>
      <c r="R29" s="190"/>
      <c r="S29" s="120"/>
      <c r="T29" s="120"/>
      <c r="U29" s="120"/>
      <c r="V29" s="120"/>
      <c r="W29" s="120"/>
      <c r="X29" s="120"/>
      <c r="Y29" s="120"/>
      <c r="Z29" s="120"/>
      <c r="AA29" s="120"/>
      <c r="AB29" s="120" t="s">
        <v>527</v>
      </c>
      <c r="AC29" s="120"/>
      <c r="AD29" s="120"/>
      <c r="AE29" s="120"/>
      <c r="AF29" s="120"/>
      <c r="AG29" s="120" t="s">
        <v>150</v>
      </c>
      <c r="AH29" s="120"/>
      <c r="AI29" s="120"/>
      <c r="AJ29" s="120"/>
      <c r="AK29" s="120" t="s">
        <v>527</v>
      </c>
      <c r="AL29" s="120"/>
      <c r="AM29" s="120"/>
      <c r="AN29" s="120"/>
      <c r="AO29" s="120"/>
      <c r="AP29" s="120" t="s">
        <v>150</v>
      </c>
      <c r="AQ29" s="120"/>
      <c r="AR29" s="120"/>
      <c r="AS29" s="120"/>
      <c r="AT29" s="145"/>
      <c r="AU29" s="146"/>
      <c r="AV29" s="146"/>
      <c r="AW29" s="146"/>
      <c r="AX29" s="146"/>
      <c r="AY29" s="147"/>
      <c r="AZ29" s="280"/>
      <c r="BA29" s="287"/>
      <c r="BB29" s="28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</row>
    <row r="30" spans="1:113" ht="12.75">
      <c r="A30" s="144"/>
      <c r="B30" s="144" t="s">
        <v>222</v>
      </c>
      <c r="C30" s="169"/>
      <c r="D30" s="228"/>
      <c r="E30" s="228"/>
      <c r="F30" s="164"/>
      <c r="G30" s="227"/>
      <c r="H30" s="169"/>
      <c r="I30" s="164"/>
      <c r="J30" s="160"/>
      <c r="K30" s="160"/>
      <c r="L30" s="181"/>
      <c r="M30" s="181"/>
      <c r="N30" s="188"/>
      <c r="O30" s="188"/>
      <c r="P30" s="188"/>
      <c r="Q30" s="160"/>
      <c r="R30" s="19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45"/>
      <c r="AU30" s="146"/>
      <c r="AV30" s="146"/>
      <c r="AW30" s="146"/>
      <c r="AX30" s="146"/>
      <c r="AY30" s="147"/>
      <c r="AZ30" s="280"/>
      <c r="BA30" s="287"/>
      <c r="BB30" s="28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</row>
    <row r="31" spans="1:113" ht="12.75">
      <c r="A31" s="143" t="s">
        <v>226</v>
      </c>
      <c r="B31" s="143" t="s">
        <v>237</v>
      </c>
      <c r="C31" s="197">
        <v>623126370</v>
      </c>
      <c r="D31" s="325">
        <v>2604.5215</v>
      </c>
      <c r="E31" s="325">
        <v>2621.9548</v>
      </c>
      <c r="F31" s="175">
        <v>4800</v>
      </c>
      <c r="G31" s="326">
        <f t="shared" si="1"/>
        <v>17.433300000000145</v>
      </c>
      <c r="H31" s="171"/>
      <c r="I31" s="175">
        <f>ROUND(G31*F31,0)</f>
        <v>83680</v>
      </c>
      <c r="J31" s="160"/>
      <c r="K31" s="160"/>
      <c r="L31" s="264"/>
      <c r="M31" s="181"/>
      <c r="N31" s="265" t="s">
        <v>280</v>
      </c>
      <c r="O31" s="265"/>
      <c r="P31" s="188"/>
      <c r="Q31" s="160"/>
      <c r="R31" s="190"/>
      <c r="S31" s="120" t="s">
        <v>447</v>
      </c>
      <c r="T31" s="120"/>
      <c r="U31" s="120"/>
      <c r="V31" s="120"/>
      <c r="W31" s="120"/>
      <c r="X31" s="120" t="s">
        <v>450</v>
      </c>
      <c r="Y31" s="120"/>
      <c r="Z31" s="120" t="s">
        <v>451</v>
      </c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45"/>
      <c r="AU31" s="146"/>
      <c r="AV31" s="146"/>
      <c r="AW31" s="146"/>
      <c r="AX31" s="146"/>
      <c r="AY31" s="147"/>
      <c r="AZ31" s="280"/>
      <c r="BA31" s="287"/>
      <c r="BB31" s="28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</row>
    <row r="32" spans="1:113" ht="12.75">
      <c r="A32" s="144"/>
      <c r="B32" s="144" t="s">
        <v>222</v>
      </c>
      <c r="C32" s="169"/>
      <c r="D32" s="228"/>
      <c r="E32" s="228"/>
      <c r="F32" s="164"/>
      <c r="G32" s="227"/>
      <c r="H32" s="169"/>
      <c r="I32" s="164"/>
      <c r="J32" s="160"/>
      <c r="K32" s="160"/>
      <c r="L32" s="181"/>
      <c r="M32" s="181"/>
      <c r="N32" s="265" t="s">
        <v>529</v>
      </c>
      <c r="O32" s="265"/>
      <c r="P32" s="188"/>
      <c r="Q32" s="160"/>
      <c r="R32" s="190"/>
      <c r="S32" s="120" t="s">
        <v>527</v>
      </c>
      <c r="T32" s="120"/>
      <c r="U32" s="120"/>
      <c r="V32" s="120"/>
      <c r="W32" s="120"/>
      <c r="X32" s="120" t="s">
        <v>150</v>
      </c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45" t="s">
        <v>432</v>
      </c>
      <c r="AU32" s="146"/>
      <c r="AV32" s="146"/>
      <c r="AW32" s="146"/>
      <c r="AX32" s="146"/>
      <c r="AY32" s="147"/>
      <c r="AZ32" s="280"/>
      <c r="BA32" s="298"/>
      <c r="BB32" s="279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</row>
    <row r="33" spans="1:113" ht="12.75">
      <c r="A33" s="143" t="s">
        <v>227</v>
      </c>
      <c r="B33" s="143" t="s">
        <v>238</v>
      </c>
      <c r="C33" s="197">
        <v>623125137</v>
      </c>
      <c r="D33" s="325">
        <v>2085.9165</v>
      </c>
      <c r="E33" s="325">
        <v>2122.0976</v>
      </c>
      <c r="F33" s="175">
        <v>4800</v>
      </c>
      <c r="G33" s="326">
        <f t="shared" si="1"/>
        <v>36.18110000000024</v>
      </c>
      <c r="H33" s="171"/>
      <c r="I33" s="175">
        <f>ROUND(G33*F33,0)</f>
        <v>173669</v>
      </c>
      <c r="J33" s="160"/>
      <c r="K33" s="160"/>
      <c r="L33" s="264"/>
      <c r="M33" s="181"/>
      <c r="N33" s="265" t="s">
        <v>563</v>
      </c>
      <c r="O33" s="265"/>
      <c r="P33" s="188"/>
      <c r="Q33" s="160"/>
      <c r="R33" s="190"/>
      <c r="S33" s="120"/>
      <c r="T33" s="120"/>
      <c r="U33" s="120"/>
      <c r="V33" s="120"/>
      <c r="W33" s="120"/>
      <c r="X33" s="120"/>
      <c r="Y33" s="120"/>
      <c r="Z33" s="120"/>
      <c r="AA33" s="120"/>
      <c r="AB33" s="120" t="s">
        <v>149</v>
      </c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45" t="s">
        <v>430</v>
      </c>
      <c r="AU33" s="146"/>
      <c r="AV33" s="146"/>
      <c r="AW33" s="146"/>
      <c r="AX33" s="146"/>
      <c r="AY33" s="147"/>
      <c r="AZ33" s="280"/>
      <c r="BA33" s="287"/>
      <c r="BB33" s="279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</row>
    <row r="34" spans="1:113" ht="12.75">
      <c r="A34" s="144"/>
      <c r="B34" s="144" t="s">
        <v>222</v>
      </c>
      <c r="C34" s="169"/>
      <c r="D34" s="228"/>
      <c r="E34" s="228"/>
      <c r="F34" s="164"/>
      <c r="G34" s="227"/>
      <c r="H34" s="169"/>
      <c r="I34" s="164"/>
      <c r="J34" s="160"/>
      <c r="K34" s="160"/>
      <c r="L34" s="181"/>
      <c r="M34" s="181"/>
      <c r="N34" s="265"/>
      <c r="O34" s="265"/>
      <c r="P34" s="188"/>
      <c r="Q34" s="160"/>
      <c r="R34" s="190"/>
      <c r="S34" s="120"/>
      <c r="T34" s="120"/>
      <c r="U34" s="120"/>
      <c r="V34" s="120"/>
      <c r="W34" s="120"/>
      <c r="X34" s="120"/>
      <c r="Y34" s="120"/>
      <c r="Z34" s="120"/>
      <c r="AA34" s="120"/>
      <c r="AB34" s="120" t="s">
        <v>18</v>
      </c>
      <c r="AC34" s="120"/>
      <c r="AD34" s="120"/>
      <c r="AE34" s="120"/>
      <c r="AF34" s="120"/>
      <c r="AG34" s="120"/>
      <c r="AH34" s="120"/>
      <c r="AI34" s="120"/>
      <c r="AJ34" s="120"/>
      <c r="AK34" s="120" t="s">
        <v>149</v>
      </c>
      <c r="AL34" s="120"/>
      <c r="AM34" s="120"/>
      <c r="AN34" s="120"/>
      <c r="AO34" s="120"/>
      <c r="AP34" s="120"/>
      <c r="AQ34" s="120"/>
      <c r="AR34" s="120"/>
      <c r="AS34" s="120"/>
      <c r="AT34" s="145" t="s">
        <v>437</v>
      </c>
      <c r="AU34" s="146"/>
      <c r="AV34" s="146"/>
      <c r="AW34" s="146"/>
      <c r="AX34" s="146"/>
      <c r="AY34" s="147"/>
      <c r="AZ34" s="280"/>
      <c r="BA34" s="293"/>
      <c r="BB34" s="279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</row>
    <row r="35" spans="1:113" ht="12.75">
      <c r="A35" s="143" t="s">
        <v>228</v>
      </c>
      <c r="B35" s="143" t="s">
        <v>239</v>
      </c>
      <c r="C35" s="197">
        <v>623125142</v>
      </c>
      <c r="D35" s="325">
        <v>13102.2513</v>
      </c>
      <c r="E35" s="325">
        <v>13339.9017</v>
      </c>
      <c r="F35" s="175">
        <v>2400</v>
      </c>
      <c r="G35" s="326">
        <f t="shared" si="1"/>
        <v>237.65040000000045</v>
      </c>
      <c r="H35" s="171"/>
      <c r="I35" s="175">
        <f>ROUND(G35*F35,0)</f>
        <v>570361</v>
      </c>
      <c r="J35" s="160"/>
      <c r="K35" s="160"/>
      <c r="L35" s="264"/>
      <c r="M35" s="181"/>
      <c r="N35" s="266" t="s">
        <v>283</v>
      </c>
      <c r="O35" s="266"/>
      <c r="P35" s="188"/>
      <c r="Q35" s="160"/>
      <c r="R35" s="190"/>
      <c r="S35" s="120"/>
      <c r="T35" s="120"/>
      <c r="U35" s="120"/>
      <c r="V35" s="120"/>
      <c r="W35" s="120"/>
      <c r="X35" s="120"/>
      <c r="Y35" s="120"/>
      <c r="Z35" s="120"/>
      <c r="AA35" s="120"/>
      <c r="AB35" s="120" t="s">
        <v>167</v>
      </c>
      <c r="AC35" s="120"/>
      <c r="AD35" s="120"/>
      <c r="AE35" s="120"/>
      <c r="AF35" s="120"/>
      <c r="AG35" s="120" t="s">
        <v>134</v>
      </c>
      <c r="AH35" s="120"/>
      <c r="AI35" s="120" t="s">
        <v>133</v>
      </c>
      <c r="AJ35" s="120"/>
      <c r="AK35" s="120" t="s">
        <v>462</v>
      </c>
      <c r="AL35" s="120"/>
      <c r="AM35" s="120"/>
      <c r="AN35" s="120"/>
      <c r="AO35" s="120"/>
      <c r="AP35" s="120"/>
      <c r="AQ35" s="120" t="s">
        <v>463</v>
      </c>
      <c r="AR35" s="120"/>
      <c r="AS35" s="120"/>
      <c r="AT35" s="145" t="s">
        <v>430</v>
      </c>
      <c r="AU35" s="146"/>
      <c r="AV35" s="146"/>
      <c r="AW35" s="146"/>
      <c r="AX35" s="146"/>
      <c r="AY35" s="147"/>
      <c r="AZ35" s="280"/>
      <c r="BA35" s="293"/>
      <c r="BB35" s="279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</row>
    <row r="36" spans="1:113" ht="12.75">
      <c r="A36" s="144"/>
      <c r="B36" s="144" t="s">
        <v>222</v>
      </c>
      <c r="C36" s="169"/>
      <c r="D36" s="228"/>
      <c r="E36" s="228"/>
      <c r="F36" s="164"/>
      <c r="G36" s="227"/>
      <c r="H36" s="169"/>
      <c r="I36" s="164"/>
      <c r="J36" s="160"/>
      <c r="K36" s="239"/>
      <c r="L36" s="181"/>
      <c r="M36" s="181"/>
      <c r="N36" s="267" t="s">
        <v>281</v>
      </c>
      <c r="O36" s="188"/>
      <c r="P36" s="188"/>
      <c r="Q36" s="160"/>
      <c r="R36" s="190"/>
      <c r="S36" s="120"/>
      <c r="T36" s="120"/>
      <c r="U36" s="120"/>
      <c r="V36" s="120"/>
      <c r="W36" s="120"/>
      <c r="X36" s="120"/>
      <c r="Y36" s="120"/>
      <c r="Z36" s="120"/>
      <c r="AA36" s="120"/>
      <c r="AB36" s="120" t="s">
        <v>188</v>
      </c>
      <c r="AC36" s="120"/>
      <c r="AD36" s="120"/>
      <c r="AE36" s="120"/>
      <c r="AF36" s="120"/>
      <c r="AG36" s="120" t="s">
        <v>150</v>
      </c>
      <c r="AH36" s="120"/>
      <c r="AI36" s="120"/>
      <c r="AJ36" s="120"/>
      <c r="AK36" s="120"/>
      <c r="AL36" s="120"/>
      <c r="AM36" s="120"/>
      <c r="AN36" s="120"/>
      <c r="AO36" s="120"/>
      <c r="AP36" s="120"/>
      <c r="AQ36" s="120" t="s">
        <v>150</v>
      </c>
      <c r="AR36" s="120"/>
      <c r="AS36" s="120"/>
      <c r="AT36" s="145" t="s">
        <v>430</v>
      </c>
      <c r="AU36" s="146"/>
      <c r="AV36" s="146"/>
      <c r="AW36" s="146"/>
      <c r="AX36" s="146"/>
      <c r="AY36" s="147"/>
      <c r="AZ36" s="280"/>
      <c r="BA36" s="293"/>
      <c r="BB36" s="279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</row>
    <row r="37" spans="1:113" ht="12.75">
      <c r="A37" s="143" t="s">
        <v>229</v>
      </c>
      <c r="B37" s="143" t="s">
        <v>240</v>
      </c>
      <c r="C37" s="197">
        <v>623125205</v>
      </c>
      <c r="D37" s="325">
        <v>4512.0821</v>
      </c>
      <c r="E37" s="325">
        <v>4603.3687</v>
      </c>
      <c r="F37" s="175">
        <v>1800</v>
      </c>
      <c r="G37" s="326">
        <f t="shared" si="1"/>
        <v>91.28660000000036</v>
      </c>
      <c r="H37" s="171"/>
      <c r="I37" s="175">
        <f>ROUND(G37*F37,0)</f>
        <v>164316</v>
      </c>
      <c r="J37" s="120"/>
      <c r="K37" s="160"/>
      <c r="L37" s="160"/>
      <c r="M37" s="160"/>
      <c r="N37" s="160"/>
      <c r="O37" s="160"/>
      <c r="P37" s="190"/>
      <c r="Q37" s="236"/>
      <c r="R37" s="237"/>
      <c r="S37" s="120" t="s">
        <v>160</v>
      </c>
      <c r="T37" s="120"/>
      <c r="U37" s="120"/>
      <c r="V37" s="120"/>
      <c r="W37" s="120"/>
      <c r="X37" s="120" t="s">
        <v>450</v>
      </c>
      <c r="Y37" s="120"/>
      <c r="Z37" s="120" t="s">
        <v>137</v>
      </c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46" t="s">
        <v>323</v>
      </c>
      <c r="AU37" s="146"/>
      <c r="AV37" s="146"/>
      <c r="AW37" s="146"/>
      <c r="AX37" s="146"/>
      <c r="AY37" s="147"/>
      <c r="AZ37" s="280"/>
      <c r="BA37" s="287"/>
      <c r="BB37" s="279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</row>
    <row r="38" spans="1:113" ht="12.75">
      <c r="A38" s="144"/>
      <c r="B38" s="144" t="s">
        <v>222</v>
      </c>
      <c r="C38" s="169"/>
      <c r="D38" s="228"/>
      <c r="E38" s="228"/>
      <c r="F38" s="164"/>
      <c r="G38" s="227"/>
      <c r="H38" s="169"/>
      <c r="I38" s="164"/>
      <c r="J38" s="120"/>
      <c r="K38" s="160"/>
      <c r="L38" s="160"/>
      <c r="M38" s="160"/>
      <c r="N38" s="160"/>
      <c r="O38" s="160"/>
      <c r="P38" s="190"/>
      <c r="Q38" s="236"/>
      <c r="R38" s="237"/>
      <c r="S38" s="120"/>
      <c r="T38" s="120"/>
      <c r="U38" s="120"/>
      <c r="V38" s="120"/>
      <c r="W38" s="120"/>
      <c r="X38" s="120" t="s">
        <v>150</v>
      </c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45" t="s">
        <v>430</v>
      </c>
      <c r="AU38" s="146"/>
      <c r="AV38" s="146" t="s">
        <v>96</v>
      </c>
      <c r="AW38" s="146"/>
      <c r="AX38" s="146"/>
      <c r="AY38" s="147"/>
      <c r="AZ38" s="280"/>
      <c r="BA38" s="293"/>
      <c r="BB38" s="279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</row>
    <row r="39" spans="1:113" ht="12.75">
      <c r="A39" s="143" t="s">
        <v>230</v>
      </c>
      <c r="B39" s="143" t="s">
        <v>241</v>
      </c>
      <c r="C39" s="197">
        <v>623123704</v>
      </c>
      <c r="D39" s="325">
        <v>6950.2595</v>
      </c>
      <c r="E39" s="325">
        <v>7231.8174</v>
      </c>
      <c r="F39" s="175">
        <v>1800</v>
      </c>
      <c r="G39" s="326">
        <f t="shared" si="1"/>
        <v>281.5578999999998</v>
      </c>
      <c r="H39" s="171"/>
      <c r="I39" s="175">
        <f>ROUND(G39*F39,0)</f>
        <v>506804</v>
      </c>
      <c r="J39" s="120"/>
      <c r="K39" s="160"/>
      <c r="L39" s="160"/>
      <c r="M39" s="160"/>
      <c r="N39" s="160"/>
      <c r="O39" s="160"/>
      <c r="P39" s="190"/>
      <c r="Q39" s="236"/>
      <c r="R39" s="237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45" t="s">
        <v>431</v>
      </c>
      <c r="AU39" s="146"/>
      <c r="AV39" s="146" t="s">
        <v>416</v>
      </c>
      <c r="AW39" s="146"/>
      <c r="AX39" s="146"/>
      <c r="AY39" s="147"/>
      <c r="AZ39" s="280"/>
      <c r="BA39" s="293"/>
      <c r="BB39" s="279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</row>
    <row r="40" spans="1:113" ht="12.75">
      <c r="A40" s="144"/>
      <c r="B40" s="144" t="s">
        <v>222</v>
      </c>
      <c r="C40" s="169"/>
      <c r="D40" s="228"/>
      <c r="E40" s="228"/>
      <c r="F40" s="164"/>
      <c r="G40" s="227"/>
      <c r="H40" s="169"/>
      <c r="I40" s="164"/>
      <c r="J40" s="120"/>
      <c r="K40" s="160"/>
      <c r="L40" s="160"/>
      <c r="M40" s="160"/>
      <c r="N40" s="160"/>
      <c r="O40" s="160"/>
      <c r="P40" s="190"/>
      <c r="Q40" s="236"/>
      <c r="R40" s="237"/>
      <c r="S40" s="239"/>
      <c r="T40" s="268"/>
      <c r="U40" s="160"/>
      <c r="V40" s="160"/>
      <c r="W40" s="188"/>
      <c r="X40" s="188"/>
      <c r="Y40" s="269"/>
      <c r="Z40" s="160"/>
      <c r="AA40" s="19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45"/>
      <c r="AU40" s="146"/>
      <c r="AV40" s="146"/>
      <c r="AW40" s="146"/>
      <c r="AX40" s="146"/>
      <c r="AY40" s="147"/>
      <c r="AZ40" s="280"/>
      <c r="BA40" s="293"/>
      <c r="BB40" s="279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</row>
    <row r="41" spans="1:113" ht="12.75">
      <c r="A41" s="143" t="s">
        <v>231</v>
      </c>
      <c r="B41" s="143" t="s">
        <v>242</v>
      </c>
      <c r="C41" s="197">
        <v>623125794</v>
      </c>
      <c r="D41" s="325">
        <v>74.8873</v>
      </c>
      <c r="E41" s="325">
        <v>75.5409</v>
      </c>
      <c r="F41" s="175">
        <v>1800</v>
      </c>
      <c r="G41" s="326">
        <f t="shared" si="1"/>
        <v>0.6535999999999973</v>
      </c>
      <c r="H41" s="171"/>
      <c r="I41" s="175">
        <f>ROUND(G41*F41,0)</f>
        <v>1176</v>
      </c>
      <c r="J41" s="120"/>
      <c r="K41" s="160"/>
      <c r="L41" s="160"/>
      <c r="M41" s="160"/>
      <c r="N41" s="160"/>
      <c r="O41" s="160"/>
      <c r="P41" s="190"/>
      <c r="Q41" s="236"/>
      <c r="R41" s="237"/>
      <c r="S41" s="239"/>
      <c r="T41" s="268"/>
      <c r="U41" s="160"/>
      <c r="V41" s="160"/>
      <c r="W41" s="188"/>
      <c r="X41" s="188"/>
      <c r="Y41" s="269"/>
      <c r="Z41" s="160"/>
      <c r="AA41" s="19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45"/>
      <c r="AU41" s="146"/>
      <c r="AV41" s="146"/>
      <c r="AW41" s="146"/>
      <c r="AX41" s="146"/>
      <c r="AY41" s="147"/>
      <c r="AZ41" s="280"/>
      <c r="BA41" s="293"/>
      <c r="BB41" s="279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</row>
    <row r="42" spans="1:113" ht="12.75">
      <c r="A42" s="144"/>
      <c r="B42" s="144" t="s">
        <v>222</v>
      </c>
      <c r="C42" s="169"/>
      <c r="D42" s="228"/>
      <c r="E42" s="228"/>
      <c r="F42" s="164"/>
      <c r="G42" s="227"/>
      <c r="H42" s="169"/>
      <c r="I42" s="164"/>
      <c r="J42" s="120"/>
      <c r="K42" s="160"/>
      <c r="L42" s="160"/>
      <c r="M42" s="160"/>
      <c r="N42" s="160"/>
      <c r="O42" s="160"/>
      <c r="P42" s="190"/>
      <c r="Q42" s="236"/>
      <c r="R42" s="237"/>
      <c r="S42" s="268"/>
      <c r="T42" s="239"/>
      <c r="U42" s="160"/>
      <c r="V42" s="160"/>
      <c r="W42" s="160"/>
      <c r="X42" s="160"/>
      <c r="Y42" s="160"/>
      <c r="Z42" s="160"/>
      <c r="AA42" s="19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45"/>
      <c r="AU42" s="146"/>
      <c r="AV42" s="146"/>
      <c r="AW42" s="146"/>
      <c r="AX42" s="146"/>
      <c r="AY42" s="147"/>
      <c r="AZ42" s="280"/>
      <c r="BA42" s="287"/>
      <c r="BB42" s="279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</row>
    <row r="43" spans="1:113" ht="12.75">
      <c r="A43" s="143" t="s">
        <v>232</v>
      </c>
      <c r="B43" s="143" t="s">
        <v>243</v>
      </c>
      <c r="C43" s="197">
        <v>623125736</v>
      </c>
      <c r="D43" s="325">
        <v>3900.7786</v>
      </c>
      <c r="E43" s="325">
        <v>4013.2168</v>
      </c>
      <c r="F43" s="175">
        <v>1200</v>
      </c>
      <c r="G43" s="326">
        <f t="shared" si="1"/>
        <v>112.43820000000005</v>
      </c>
      <c r="H43" s="171"/>
      <c r="I43" s="175">
        <f>ROUND(G43*F43,0)</f>
        <v>134926</v>
      </c>
      <c r="J43" s="120"/>
      <c r="K43" s="160"/>
      <c r="L43" s="160"/>
      <c r="M43" s="160"/>
      <c r="N43" s="160"/>
      <c r="O43" s="160"/>
      <c r="P43" s="190"/>
      <c r="Q43" s="236"/>
      <c r="R43" s="237"/>
      <c r="S43" s="239"/>
      <c r="T43" s="268"/>
      <c r="U43" s="160"/>
      <c r="V43" s="160"/>
      <c r="W43" s="188"/>
      <c r="X43" s="188"/>
      <c r="Y43" s="269"/>
      <c r="Z43" s="160"/>
      <c r="AA43" s="19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45" t="s">
        <v>323</v>
      </c>
      <c r="AU43" s="146"/>
      <c r="AV43" s="146"/>
      <c r="AW43" s="146"/>
      <c r="AX43" s="146"/>
      <c r="AY43" s="147"/>
      <c r="AZ43" s="280"/>
      <c r="BA43" s="293"/>
      <c r="BB43" s="279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</row>
    <row r="44" spans="1:113" ht="12.75">
      <c r="A44" s="144"/>
      <c r="B44" s="144" t="s">
        <v>222</v>
      </c>
      <c r="C44" s="168"/>
      <c r="D44" s="228"/>
      <c r="E44" s="228"/>
      <c r="F44" s="164"/>
      <c r="G44" s="227"/>
      <c r="H44" s="169"/>
      <c r="I44" s="164"/>
      <c r="J44" s="160"/>
      <c r="K44" s="160"/>
      <c r="L44" s="160"/>
      <c r="M44" s="160"/>
      <c r="N44" s="160"/>
      <c r="O44" s="160"/>
      <c r="P44" s="190"/>
      <c r="Q44" s="236"/>
      <c r="R44" s="237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45"/>
      <c r="AU44" s="146"/>
      <c r="AV44" s="146"/>
      <c r="AW44" s="146"/>
      <c r="AX44" s="146"/>
      <c r="AY44" s="147"/>
      <c r="AZ44" s="280"/>
      <c r="BA44" s="287"/>
      <c r="BB44" s="279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</row>
    <row r="45" spans="1:113" ht="12.75">
      <c r="A45" s="143" t="s">
        <v>233</v>
      </c>
      <c r="B45" s="145" t="s">
        <v>234</v>
      </c>
      <c r="C45" s="197">
        <v>1110171156</v>
      </c>
      <c r="D45" s="325">
        <v>10619.5992</v>
      </c>
      <c r="E45" s="325">
        <v>11288.8952</v>
      </c>
      <c r="F45" s="175">
        <v>40</v>
      </c>
      <c r="G45" s="326">
        <f>E45-D45</f>
        <v>669.2960000000003</v>
      </c>
      <c r="H45" s="171"/>
      <c r="I45" s="175">
        <f>ROUND(G45*F45,0)</f>
        <v>26772</v>
      </c>
      <c r="J45" s="160"/>
      <c r="K45" s="160"/>
      <c r="L45" s="160"/>
      <c r="M45" s="160"/>
      <c r="N45" s="160"/>
      <c r="O45" s="160"/>
      <c r="P45" s="190"/>
      <c r="Q45" s="238"/>
      <c r="R45" s="237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45" t="s">
        <v>3</v>
      </c>
      <c r="AU45" s="146"/>
      <c r="AV45" s="146"/>
      <c r="AW45" s="146"/>
      <c r="AX45" s="146"/>
      <c r="AY45" s="147"/>
      <c r="AZ45" s="280"/>
      <c r="BA45" s="287"/>
      <c r="BB45" s="279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</row>
    <row r="46" spans="1:113" ht="12.75">
      <c r="A46" s="144"/>
      <c r="B46" s="103" t="s">
        <v>222</v>
      </c>
      <c r="C46" s="198"/>
      <c r="D46" s="378"/>
      <c r="E46" s="325"/>
      <c r="F46" s="175"/>
      <c r="G46" s="326"/>
      <c r="H46" s="171"/>
      <c r="I46" s="175"/>
      <c r="J46" s="160"/>
      <c r="K46" s="160"/>
      <c r="L46" s="160"/>
      <c r="M46" s="160"/>
      <c r="N46" s="160"/>
      <c r="O46" s="160"/>
      <c r="P46" s="190"/>
      <c r="Q46" s="236"/>
      <c r="R46" s="237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45"/>
      <c r="AU46" s="146"/>
      <c r="AV46" s="146" t="s">
        <v>330</v>
      </c>
      <c r="AW46" s="146"/>
      <c r="AX46" s="146"/>
      <c r="AY46" s="147"/>
      <c r="AZ46" s="280"/>
      <c r="BA46" s="298"/>
      <c r="BB46" s="279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</row>
    <row r="47" spans="1:113" ht="12.75">
      <c r="A47" s="201"/>
      <c r="B47" s="150"/>
      <c r="C47" s="191"/>
      <c r="D47" s="199"/>
      <c r="E47" s="200"/>
      <c r="F47" s="200"/>
      <c r="G47" s="215" t="s">
        <v>244</v>
      </c>
      <c r="H47" s="151"/>
      <c r="I47" s="235">
        <f>ROUND((SUM(I25:I46)+I20),0)</f>
        <v>5684661</v>
      </c>
      <c r="J47" s="160"/>
      <c r="K47" s="160"/>
      <c r="L47" s="160"/>
      <c r="M47" s="160"/>
      <c r="N47" s="160"/>
      <c r="O47" s="160"/>
      <c r="P47" s="190"/>
      <c r="Q47" s="238"/>
      <c r="R47" s="237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45"/>
      <c r="AU47" s="146"/>
      <c r="AV47" s="146"/>
      <c r="AW47" s="146"/>
      <c r="AX47" s="146"/>
      <c r="AY47" s="147"/>
      <c r="AZ47" s="280"/>
      <c r="BA47" s="287"/>
      <c r="BB47" s="279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</row>
    <row r="48" spans="1:113" ht="12.75">
      <c r="A48" s="143" t="s">
        <v>247</v>
      </c>
      <c r="B48" s="145" t="s">
        <v>245</v>
      </c>
      <c r="C48" s="202"/>
      <c r="D48" s="202"/>
      <c r="E48" s="203"/>
      <c r="F48" s="203"/>
      <c r="G48" s="204"/>
      <c r="H48" s="146"/>
      <c r="I48" s="205"/>
      <c r="J48" s="160"/>
      <c r="K48" s="160"/>
      <c r="L48" s="160"/>
      <c r="M48" s="160"/>
      <c r="N48" s="160"/>
      <c r="O48" s="160"/>
      <c r="P48" s="190"/>
      <c r="Q48" s="236"/>
      <c r="R48" s="237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45"/>
      <c r="AU48" s="146"/>
      <c r="AV48" s="146"/>
      <c r="AW48" s="146"/>
      <c r="AX48" s="146"/>
      <c r="AY48" s="147"/>
      <c r="AZ48" s="280"/>
      <c r="BA48" s="298"/>
      <c r="BB48" s="279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</row>
    <row r="49" spans="1:113" ht="12.75">
      <c r="A49" s="173"/>
      <c r="B49" s="159" t="s">
        <v>246</v>
      </c>
      <c r="C49" s="206"/>
      <c r="D49" s="191"/>
      <c r="E49" s="207"/>
      <c r="F49" s="207"/>
      <c r="G49" s="208"/>
      <c r="H49" s="148"/>
      <c r="I49" s="209"/>
      <c r="J49" s="160"/>
      <c r="K49" s="160"/>
      <c r="L49" s="239"/>
      <c r="M49" s="160"/>
      <c r="N49" s="160"/>
      <c r="O49" s="160"/>
      <c r="P49" s="190"/>
      <c r="Q49" s="236"/>
      <c r="R49" s="237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45"/>
      <c r="AU49" s="146"/>
      <c r="AV49" s="146" t="s">
        <v>330</v>
      </c>
      <c r="AW49" s="146"/>
      <c r="AX49" s="146"/>
      <c r="AY49" s="147"/>
      <c r="AZ49" s="280"/>
      <c r="BA49" s="293"/>
      <c r="BB49" s="279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</row>
    <row r="50" spans="1:113" ht="12.75">
      <c r="A50" s="145" t="s">
        <v>248</v>
      </c>
      <c r="B50" s="143" t="s">
        <v>484</v>
      </c>
      <c r="C50" s="304"/>
      <c r="D50" s="211"/>
      <c r="E50" s="211"/>
      <c r="F50" s="155"/>
      <c r="G50" s="212"/>
      <c r="H50" s="152"/>
      <c r="I50" s="155"/>
      <c r="J50" s="160"/>
      <c r="K50" s="160"/>
      <c r="L50" s="160"/>
      <c r="M50" s="160"/>
      <c r="N50" s="160"/>
      <c r="O50" s="160"/>
      <c r="P50" s="160"/>
      <c r="Q50" s="160"/>
      <c r="R50" s="16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50"/>
      <c r="AU50" s="150"/>
      <c r="AV50" s="270" t="s">
        <v>534</v>
      </c>
      <c r="AW50" s="150"/>
      <c r="AX50" s="150"/>
      <c r="AY50" s="151"/>
      <c r="AZ50" s="280"/>
      <c r="BA50" s="293"/>
      <c r="BB50" s="279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</row>
    <row r="51" spans="1:113" ht="12.75">
      <c r="A51" s="159"/>
      <c r="B51" s="173"/>
      <c r="C51" s="305">
        <v>611127627</v>
      </c>
      <c r="D51" s="302">
        <v>5721.0592</v>
      </c>
      <c r="E51" s="302">
        <v>5796.1716</v>
      </c>
      <c r="F51" s="155">
        <v>40</v>
      </c>
      <c r="G51" s="252">
        <f>E51-D51</f>
        <v>75.11239999999998</v>
      </c>
      <c r="H51" s="155"/>
      <c r="I51" s="155">
        <f>ROUND(F51*G51+H51,0)</f>
        <v>3004</v>
      </c>
      <c r="J51" s="160"/>
      <c r="K51" s="160"/>
      <c r="L51" s="160"/>
      <c r="M51" s="160"/>
      <c r="N51" s="160"/>
      <c r="O51" s="160"/>
      <c r="P51" s="160"/>
      <c r="Q51" s="160"/>
      <c r="R51" s="16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60"/>
      <c r="AU51" s="120"/>
      <c r="AV51" s="120"/>
      <c r="AW51" s="120"/>
      <c r="AX51" s="120"/>
      <c r="AY51" s="120"/>
      <c r="AZ51" s="120"/>
      <c r="BA51" s="120"/>
      <c r="BB51" s="120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</row>
    <row r="52" spans="1:113" ht="12.75">
      <c r="A52" s="159"/>
      <c r="B52" s="144" t="s">
        <v>467</v>
      </c>
      <c r="C52" s="305"/>
      <c r="D52" s="306"/>
      <c r="E52" s="306"/>
      <c r="F52" s="155"/>
      <c r="G52" s="212"/>
      <c r="H52" s="155"/>
      <c r="I52" s="155"/>
      <c r="J52" s="160"/>
      <c r="K52" s="160"/>
      <c r="L52" s="160"/>
      <c r="M52" s="160"/>
      <c r="N52" s="160"/>
      <c r="O52" s="160"/>
      <c r="P52" s="160"/>
      <c r="Q52" s="160"/>
      <c r="R52" s="16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60"/>
      <c r="AU52" s="120"/>
      <c r="AV52" s="120"/>
      <c r="AW52" s="120"/>
      <c r="AX52" s="120"/>
      <c r="AY52" s="120"/>
      <c r="AZ52" s="120"/>
      <c r="BA52" s="120"/>
      <c r="BB52" s="120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</row>
    <row r="53" spans="1:113" ht="12.75">
      <c r="A53" s="143" t="s">
        <v>251</v>
      </c>
      <c r="B53" s="161"/>
      <c r="C53" s="213">
        <v>810120245</v>
      </c>
      <c r="D53" s="302">
        <v>3647.4312</v>
      </c>
      <c r="E53" s="302">
        <v>3652.8637</v>
      </c>
      <c r="F53" s="155">
        <v>3600</v>
      </c>
      <c r="G53" s="252">
        <f>E53-D53</f>
        <v>5.432499999999891</v>
      </c>
      <c r="H53" s="155"/>
      <c r="I53" s="155">
        <f>ROUND(F53*G53+H53,0)</f>
        <v>19557</v>
      </c>
      <c r="J53" s="160"/>
      <c r="K53" s="160"/>
      <c r="L53" s="160"/>
      <c r="M53" s="160"/>
      <c r="N53" s="160"/>
      <c r="O53" s="160"/>
      <c r="P53" s="160"/>
      <c r="Q53" s="160"/>
      <c r="R53" s="16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60" t="s">
        <v>566</v>
      </c>
      <c r="AU53" s="120"/>
      <c r="AV53" s="120"/>
      <c r="AW53" s="120"/>
      <c r="AX53" s="120"/>
      <c r="AY53" s="120"/>
      <c r="AZ53" s="120"/>
      <c r="BA53" s="120"/>
      <c r="BB53" s="120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</row>
    <row r="54" spans="1:113" ht="12.75">
      <c r="A54" s="173"/>
      <c r="B54" s="161" t="s">
        <v>494</v>
      </c>
      <c r="C54" s="213"/>
      <c r="D54" s="302"/>
      <c r="E54" s="302"/>
      <c r="F54" s="155"/>
      <c r="G54" s="252"/>
      <c r="H54" s="96"/>
      <c r="I54" s="155"/>
      <c r="J54" s="160"/>
      <c r="K54" s="160"/>
      <c r="L54" s="160"/>
      <c r="M54" s="160"/>
      <c r="N54" s="160"/>
      <c r="O54" s="160"/>
      <c r="P54" s="160"/>
      <c r="Q54" s="160"/>
      <c r="R54" s="16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60"/>
      <c r="AU54" s="120"/>
      <c r="AV54" s="120"/>
      <c r="AW54" s="120"/>
      <c r="AX54" s="120"/>
      <c r="AY54" s="120"/>
      <c r="AZ54" s="120"/>
      <c r="BA54" s="120"/>
      <c r="BB54" s="120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</row>
    <row r="55" spans="1:113" ht="12.75">
      <c r="A55" s="173"/>
      <c r="B55" s="161"/>
      <c r="C55" s="210">
        <v>4050284</v>
      </c>
      <c r="D55" s="230">
        <v>4073.2541</v>
      </c>
      <c r="E55" s="230">
        <v>4116.1832</v>
      </c>
      <c r="F55" s="155">
        <v>3600</v>
      </c>
      <c r="G55" s="253">
        <f>E55-D55</f>
        <v>42.92910000000029</v>
      </c>
      <c r="H55" s="96"/>
      <c r="I55" s="155">
        <f>ROUND(F55*G55+H55,0)</f>
        <v>154545</v>
      </c>
      <c r="J55" s="160"/>
      <c r="K55" s="160"/>
      <c r="L55" s="160"/>
      <c r="M55" s="160"/>
      <c r="N55" s="160"/>
      <c r="O55" s="160"/>
      <c r="P55" s="160"/>
      <c r="Q55" s="160"/>
      <c r="R55" s="16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60"/>
      <c r="AU55" s="120"/>
      <c r="AV55" s="120"/>
      <c r="AW55" s="120"/>
      <c r="AX55" s="120"/>
      <c r="AY55" s="120"/>
      <c r="AZ55" s="120"/>
      <c r="BA55" s="120"/>
      <c r="BB55" s="120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</row>
    <row r="56" spans="1:113" ht="12.75">
      <c r="A56" s="144"/>
      <c r="B56" s="149"/>
      <c r="C56" s="210"/>
      <c r="D56" s="230"/>
      <c r="E56" s="230"/>
      <c r="F56" s="155"/>
      <c r="G56" s="253"/>
      <c r="H56" s="96"/>
      <c r="I56" s="155"/>
      <c r="J56" s="160"/>
      <c r="K56" s="160"/>
      <c r="L56" s="160"/>
      <c r="M56" s="160"/>
      <c r="N56" s="160"/>
      <c r="O56" s="160"/>
      <c r="P56" s="160"/>
      <c r="Q56" s="160"/>
      <c r="R56" s="24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60"/>
      <c r="AU56" s="120"/>
      <c r="AV56" s="120"/>
      <c r="AW56" s="120"/>
      <c r="AX56" s="120"/>
      <c r="AY56" s="120"/>
      <c r="AZ56" s="120"/>
      <c r="BA56" s="120"/>
      <c r="BB56" s="120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</row>
    <row r="57" spans="1:113" ht="12.75">
      <c r="A57" s="173" t="s">
        <v>252</v>
      </c>
      <c r="B57" s="143" t="s">
        <v>218</v>
      </c>
      <c r="C57" s="152"/>
      <c r="D57" s="211"/>
      <c r="E57" s="211"/>
      <c r="F57" s="155"/>
      <c r="G57" s="212"/>
      <c r="H57" s="96"/>
      <c r="I57" s="155"/>
      <c r="J57" s="160"/>
      <c r="K57" s="120"/>
      <c r="L57" s="120"/>
      <c r="M57" s="120"/>
      <c r="N57" s="120"/>
      <c r="O57" s="120"/>
      <c r="P57" s="120"/>
      <c r="Q57" s="120"/>
      <c r="R57" s="241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60"/>
      <c r="AU57" s="120"/>
      <c r="AV57" s="120"/>
      <c r="AW57" s="120"/>
      <c r="AX57" s="120"/>
      <c r="AY57" s="120"/>
      <c r="AZ57" s="120"/>
      <c r="BA57" s="120"/>
      <c r="BB57" s="271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</row>
    <row r="58" spans="1:113" ht="12.75">
      <c r="A58" s="307"/>
      <c r="B58" s="173" t="s">
        <v>217</v>
      </c>
      <c r="C58" s="305">
        <v>611127492</v>
      </c>
      <c r="D58" s="302">
        <v>19360.884</v>
      </c>
      <c r="E58" s="302">
        <v>19642.6764</v>
      </c>
      <c r="F58" s="155">
        <v>20</v>
      </c>
      <c r="G58" s="252">
        <f>E58-D58</f>
        <v>281.7924000000021</v>
      </c>
      <c r="H58" s="155"/>
      <c r="I58" s="155">
        <f>ROUND(F58*G58+H58,0)</f>
        <v>5636</v>
      </c>
      <c r="J58" s="16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60"/>
      <c r="AU58" s="120"/>
      <c r="AV58" s="120" t="s">
        <v>144</v>
      </c>
      <c r="AW58" s="120"/>
      <c r="AX58" s="120"/>
      <c r="AY58" s="120"/>
      <c r="AZ58" s="120"/>
      <c r="BA58" s="120"/>
      <c r="BB58" s="272">
        <f>BA9</f>
        <v>3.5921559574526416</v>
      </c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</row>
    <row r="59" spans="1:113" ht="12.75">
      <c r="A59" s="145" t="s">
        <v>253</v>
      </c>
      <c r="B59" s="143" t="s">
        <v>485</v>
      </c>
      <c r="C59" s="309"/>
      <c r="D59" s="211"/>
      <c r="E59" s="211"/>
      <c r="F59" s="155"/>
      <c r="G59" s="212"/>
      <c r="H59" s="96"/>
      <c r="I59" s="155"/>
      <c r="J59" s="160"/>
      <c r="K59" s="160"/>
      <c r="L59" s="160"/>
      <c r="M59" s="160"/>
      <c r="N59" s="160"/>
      <c r="O59" s="160"/>
      <c r="P59" s="160"/>
      <c r="Q59" s="160"/>
      <c r="R59" s="16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60"/>
      <c r="AU59" s="120"/>
      <c r="AV59" s="120"/>
      <c r="AW59" s="120"/>
      <c r="AX59" s="120"/>
      <c r="AY59" s="120"/>
      <c r="AZ59" s="120"/>
      <c r="BA59" s="120"/>
      <c r="BB59" s="120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</row>
    <row r="60" spans="1:113" ht="12.75">
      <c r="A60" s="308"/>
      <c r="B60" s="168" t="s">
        <v>546</v>
      </c>
      <c r="C60" s="305">
        <v>611127702</v>
      </c>
      <c r="D60" s="302">
        <v>30905.7016</v>
      </c>
      <c r="E60" s="302">
        <v>31062.8316</v>
      </c>
      <c r="F60" s="155">
        <v>60</v>
      </c>
      <c r="G60" s="252">
        <f>E60-D60</f>
        <v>157.13000000000102</v>
      </c>
      <c r="H60" s="96"/>
      <c r="I60" s="155">
        <f>ROUND(F60*G60+H60,0)</f>
        <v>9428</v>
      </c>
      <c r="J60" s="160"/>
      <c r="K60" s="160"/>
      <c r="L60" s="160"/>
      <c r="M60" s="160"/>
      <c r="N60" s="160"/>
      <c r="O60" s="160"/>
      <c r="P60" s="160"/>
      <c r="Q60" s="160"/>
      <c r="R60" s="16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60"/>
      <c r="AU60" s="160"/>
      <c r="AV60" s="160"/>
      <c r="AW60" s="160"/>
      <c r="AX60" s="160"/>
      <c r="AY60" s="160"/>
      <c r="AZ60" s="160"/>
      <c r="BA60" s="160"/>
      <c r="BB60" s="160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</row>
    <row r="61" spans="1:113" ht="13.5">
      <c r="A61" s="159"/>
      <c r="B61" s="168" t="s">
        <v>547</v>
      </c>
      <c r="C61" s="305">
        <v>611127555</v>
      </c>
      <c r="D61" s="302">
        <v>6954.058</v>
      </c>
      <c r="E61" s="302">
        <v>7565.314</v>
      </c>
      <c r="F61" s="155">
        <v>60</v>
      </c>
      <c r="G61" s="252">
        <f>E61-D61</f>
        <v>611.2560000000003</v>
      </c>
      <c r="H61" s="96"/>
      <c r="I61" s="155">
        <f>ROUND(F61*G61+H61,0)</f>
        <v>36675</v>
      </c>
      <c r="J61" s="160"/>
      <c r="K61" s="160"/>
      <c r="L61" s="160"/>
      <c r="M61" s="160"/>
      <c r="N61" s="160"/>
      <c r="O61" s="242"/>
      <c r="P61" s="243"/>
      <c r="Q61" s="160"/>
      <c r="R61" s="16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60"/>
      <c r="AU61" s="160"/>
      <c r="AV61" s="160"/>
      <c r="AW61" s="160"/>
      <c r="AX61" s="160"/>
      <c r="AY61" s="242"/>
      <c r="AZ61" s="243"/>
      <c r="BA61" s="160"/>
      <c r="BB61" s="160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</row>
    <row r="62" spans="1:113" ht="12.75">
      <c r="A62" s="145" t="s">
        <v>258</v>
      </c>
      <c r="B62" s="143" t="s">
        <v>486</v>
      </c>
      <c r="C62" s="310"/>
      <c r="D62" s="232"/>
      <c r="E62" s="232"/>
      <c r="F62" s="155"/>
      <c r="G62" s="212"/>
      <c r="H62" s="96"/>
      <c r="I62" s="155"/>
      <c r="J62" s="160"/>
      <c r="K62" s="160"/>
      <c r="L62" s="160"/>
      <c r="M62" s="160"/>
      <c r="N62" s="160"/>
      <c r="O62" s="160"/>
      <c r="P62" s="160"/>
      <c r="Q62" s="160"/>
      <c r="R62" s="16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60"/>
      <c r="AU62" s="160"/>
      <c r="AV62" s="160"/>
      <c r="AW62" s="160"/>
      <c r="AX62" s="160"/>
      <c r="AY62" s="160"/>
      <c r="AZ62" s="160"/>
      <c r="BA62" s="160"/>
      <c r="BB62" s="160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</row>
    <row r="63" spans="1:113" ht="12.75">
      <c r="A63" s="308"/>
      <c r="B63" s="173"/>
      <c r="C63" s="305">
        <v>1110171163</v>
      </c>
      <c r="D63" s="302">
        <v>497.5988</v>
      </c>
      <c r="E63" s="302">
        <v>642.196</v>
      </c>
      <c r="F63" s="155">
        <v>60</v>
      </c>
      <c r="G63" s="252">
        <f>E63-D63</f>
        <v>144.59720000000004</v>
      </c>
      <c r="H63" s="96"/>
      <c r="I63" s="155">
        <f>ROUND(F63*G63+H63,0)</f>
        <v>8676</v>
      </c>
      <c r="J63" s="243"/>
      <c r="K63" s="160"/>
      <c r="L63" s="160"/>
      <c r="M63" s="160"/>
      <c r="N63" s="160"/>
      <c r="O63" s="160"/>
      <c r="P63" s="189"/>
      <c r="Q63" s="160"/>
      <c r="R63" s="244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243"/>
      <c r="AU63" s="160"/>
      <c r="AV63" s="160"/>
      <c r="AW63" s="160"/>
      <c r="AX63" s="160"/>
      <c r="AY63" s="160"/>
      <c r="AZ63" s="189"/>
      <c r="BA63" s="160"/>
      <c r="BB63" s="24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</row>
    <row r="64" spans="1:113" ht="12.75">
      <c r="A64" s="159"/>
      <c r="B64" s="173"/>
      <c r="C64" s="305"/>
      <c r="D64" s="302"/>
      <c r="E64" s="302"/>
      <c r="F64" s="155"/>
      <c r="G64" s="252"/>
      <c r="H64" s="96"/>
      <c r="I64" s="155"/>
      <c r="J64" s="243"/>
      <c r="K64" s="160"/>
      <c r="L64" s="160"/>
      <c r="M64" s="160"/>
      <c r="N64" s="160"/>
      <c r="O64" s="160"/>
      <c r="P64" s="189"/>
      <c r="Q64" s="160"/>
      <c r="R64" s="244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243"/>
      <c r="AU64" s="160"/>
      <c r="AV64" s="160"/>
      <c r="AW64" s="160"/>
      <c r="AX64" s="160"/>
      <c r="AY64" s="160"/>
      <c r="AZ64" s="189"/>
      <c r="BA64" s="160"/>
      <c r="BB64" s="24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</row>
    <row r="65" spans="1:113" ht="12.75">
      <c r="A65" s="145" t="s">
        <v>260</v>
      </c>
      <c r="B65" s="143" t="s">
        <v>487</v>
      </c>
      <c r="C65" s="311"/>
      <c r="D65" s="232"/>
      <c r="E65" s="232"/>
      <c r="F65" s="155"/>
      <c r="G65" s="212"/>
      <c r="H65" s="96"/>
      <c r="I65" s="155"/>
      <c r="J65" s="243"/>
      <c r="K65" s="160"/>
      <c r="L65" s="160"/>
      <c r="M65" s="160"/>
      <c r="N65" s="160"/>
      <c r="O65" s="160"/>
      <c r="P65" s="189"/>
      <c r="Q65" s="160"/>
      <c r="R65" s="244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243"/>
      <c r="AU65" s="160"/>
      <c r="AV65" s="160"/>
      <c r="AW65" s="160"/>
      <c r="AX65" s="160"/>
      <c r="AY65" s="160"/>
      <c r="AZ65" s="189"/>
      <c r="BA65" s="160"/>
      <c r="BB65" s="24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</row>
    <row r="66" spans="1:113" ht="12.75">
      <c r="A66" s="159"/>
      <c r="B66" s="173"/>
      <c r="C66" s="305">
        <v>1110171170</v>
      </c>
      <c r="D66" s="302">
        <v>125.6192</v>
      </c>
      <c r="E66" s="302">
        <v>130.1276</v>
      </c>
      <c r="F66" s="155">
        <v>40</v>
      </c>
      <c r="G66" s="252">
        <f>E66-D66</f>
        <v>4.508399999999995</v>
      </c>
      <c r="H66" s="155"/>
      <c r="I66" s="155">
        <f>ROUND(F66*G66+H66,0)</f>
        <v>180</v>
      </c>
      <c r="J66" s="243"/>
      <c r="K66" s="160"/>
      <c r="L66" s="160"/>
      <c r="M66" s="160"/>
      <c r="N66" s="160"/>
      <c r="O66" s="160"/>
      <c r="P66" s="189"/>
      <c r="Q66" s="160"/>
      <c r="R66" s="244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243"/>
      <c r="AU66" s="160"/>
      <c r="AV66" s="160"/>
      <c r="AW66" s="160"/>
      <c r="AX66" s="160"/>
      <c r="AY66" s="160"/>
      <c r="AZ66" s="189"/>
      <c r="BA66" s="160"/>
      <c r="BB66" s="24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</row>
    <row r="67" spans="1:113" ht="12.75">
      <c r="A67" s="159"/>
      <c r="B67" s="173"/>
      <c r="C67" s="305"/>
      <c r="D67" s="302"/>
      <c r="E67" s="302"/>
      <c r="F67" s="155"/>
      <c r="G67" s="252"/>
      <c r="H67" s="155"/>
      <c r="I67" s="155"/>
      <c r="J67" s="16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60"/>
      <c r="AU67" s="160"/>
      <c r="AV67" s="160"/>
      <c r="AW67" s="160"/>
      <c r="AX67" s="160"/>
      <c r="AY67" s="160"/>
      <c r="AZ67" s="160"/>
      <c r="BA67" s="160"/>
      <c r="BB67" s="160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</row>
    <row r="68" spans="1:113" ht="12.75">
      <c r="A68" s="145" t="s">
        <v>261</v>
      </c>
      <c r="B68" s="143" t="s">
        <v>550</v>
      </c>
      <c r="C68" s="305">
        <v>611126342</v>
      </c>
      <c r="D68" s="302">
        <v>25782.5391</v>
      </c>
      <c r="E68" s="302">
        <v>25782.5391</v>
      </c>
      <c r="F68" s="155">
        <v>1800</v>
      </c>
      <c r="G68" s="252">
        <f>E68-D68</f>
        <v>0</v>
      </c>
      <c r="H68" s="155"/>
      <c r="I68" s="155">
        <f>ROUND(F68*G68+H68,0)</f>
        <v>0</v>
      </c>
      <c r="J68" s="160"/>
      <c r="K68" s="160"/>
      <c r="L68" s="160"/>
      <c r="M68" s="160"/>
      <c r="N68" s="160"/>
      <c r="O68" s="160"/>
      <c r="P68" s="160"/>
      <c r="Q68" s="160"/>
      <c r="R68" s="16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60"/>
      <c r="AU68" s="160"/>
      <c r="AV68" s="160"/>
      <c r="AW68" s="160"/>
      <c r="AX68" s="160"/>
      <c r="AY68" s="160"/>
      <c r="AZ68" s="160"/>
      <c r="BA68" s="160"/>
      <c r="BB68" s="160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</row>
    <row r="69" spans="1:113" ht="13.5">
      <c r="A69" s="159"/>
      <c r="B69" s="173" t="s">
        <v>551</v>
      </c>
      <c r="C69" s="305">
        <v>611126404</v>
      </c>
      <c r="D69" s="302">
        <v>532.6895</v>
      </c>
      <c r="E69" s="302">
        <v>542.1074</v>
      </c>
      <c r="F69" s="155">
        <v>1800</v>
      </c>
      <c r="G69" s="252">
        <f>E69-D69</f>
        <v>9.417900000000031</v>
      </c>
      <c r="H69" s="155"/>
      <c r="I69" s="155">
        <f>ROUND((F69*G69+H69),0)</f>
        <v>16952</v>
      </c>
      <c r="J69" s="160"/>
      <c r="K69" s="160"/>
      <c r="L69" s="160"/>
      <c r="M69" s="160"/>
      <c r="N69" s="160"/>
      <c r="O69" s="242"/>
      <c r="P69" s="243"/>
      <c r="Q69" s="160"/>
      <c r="R69" s="16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60"/>
      <c r="AU69" s="160"/>
      <c r="AV69" s="160"/>
      <c r="AW69" s="160"/>
      <c r="AX69" s="160"/>
      <c r="AY69" s="242"/>
      <c r="AZ69" s="243"/>
      <c r="BA69" s="160"/>
      <c r="BB69" s="160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</row>
    <row r="70" spans="1:113" ht="12.75">
      <c r="A70" s="103"/>
      <c r="B70" s="144" t="s">
        <v>509</v>
      </c>
      <c r="C70" s="305">
        <v>611126334</v>
      </c>
      <c r="D70" s="302">
        <v>2.3724</v>
      </c>
      <c r="E70" s="302">
        <v>2.3724</v>
      </c>
      <c r="F70" s="155">
        <v>1800</v>
      </c>
      <c r="G70" s="252">
        <f>E70-D70</f>
        <v>0</v>
      </c>
      <c r="H70" s="96"/>
      <c r="I70" s="155">
        <f>ROUND(F70*G70+H70,0)</f>
        <v>0</v>
      </c>
      <c r="J70" s="160"/>
      <c r="K70" s="160"/>
      <c r="L70" s="160"/>
      <c r="M70" s="160"/>
      <c r="N70" s="160"/>
      <c r="O70" s="160"/>
      <c r="P70" s="160"/>
      <c r="Q70" s="160"/>
      <c r="R70" s="16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60"/>
      <c r="AU70" s="160"/>
      <c r="AV70" s="160"/>
      <c r="AW70" s="160"/>
      <c r="AX70" s="160"/>
      <c r="AY70" s="160"/>
      <c r="AZ70" s="160"/>
      <c r="BA70" s="160"/>
      <c r="BB70" s="160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</row>
    <row r="71" spans="1:113" ht="12.75">
      <c r="A71" s="159" t="s">
        <v>477</v>
      </c>
      <c r="B71" s="173" t="s">
        <v>488</v>
      </c>
      <c r="C71" s="305">
        <v>611127724</v>
      </c>
      <c r="D71" s="302">
        <v>1778.6452</v>
      </c>
      <c r="E71" s="302">
        <v>1805.1788</v>
      </c>
      <c r="F71" s="155">
        <v>30</v>
      </c>
      <c r="G71" s="252">
        <f>E71-D71</f>
        <v>26.53359999999998</v>
      </c>
      <c r="H71" s="155"/>
      <c r="I71" s="155">
        <f>ROUND(F71*G71+H71,0)</f>
        <v>796</v>
      </c>
      <c r="J71" s="243"/>
      <c r="K71" s="160"/>
      <c r="L71" s="160"/>
      <c r="M71" s="160"/>
      <c r="N71" s="160"/>
      <c r="O71" s="160"/>
      <c r="P71" s="189"/>
      <c r="Q71" s="160"/>
      <c r="R71" s="244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243"/>
      <c r="AU71" s="160"/>
      <c r="AV71" s="160"/>
      <c r="AW71" s="160"/>
      <c r="AX71" s="160"/>
      <c r="AY71" s="160"/>
      <c r="AZ71" s="189"/>
      <c r="BA71" s="160"/>
      <c r="BB71" s="24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</row>
    <row r="72" spans="1:113" ht="12.75">
      <c r="A72" s="103"/>
      <c r="B72" s="173" t="s">
        <v>542</v>
      </c>
      <c r="C72" s="305"/>
      <c r="D72" s="306"/>
      <c r="E72" s="306"/>
      <c r="F72" s="155"/>
      <c r="G72" s="212"/>
      <c r="H72" s="155"/>
      <c r="I72" s="155"/>
      <c r="J72" s="243"/>
      <c r="K72" s="160"/>
      <c r="L72" s="160"/>
      <c r="M72" s="160"/>
      <c r="N72" s="160"/>
      <c r="O72" s="160"/>
      <c r="P72" s="189"/>
      <c r="Q72" s="160"/>
      <c r="R72" s="244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243"/>
      <c r="AU72" s="160"/>
      <c r="AV72" s="160"/>
      <c r="AW72" s="160"/>
      <c r="AX72" s="160"/>
      <c r="AY72" s="160"/>
      <c r="AZ72" s="189"/>
      <c r="BA72" s="160"/>
      <c r="BB72" s="24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</row>
    <row r="73" spans="1:113" ht="12.75">
      <c r="A73" s="96"/>
      <c r="B73" s="312"/>
      <c r="C73" s="171"/>
      <c r="D73" s="212"/>
      <c r="E73" s="212"/>
      <c r="F73" s="155"/>
      <c r="G73" s="212"/>
      <c r="H73" s="155"/>
      <c r="I73" s="155"/>
      <c r="J73" s="243"/>
      <c r="K73" s="160"/>
      <c r="L73" s="160"/>
      <c r="M73" s="160"/>
      <c r="N73" s="160"/>
      <c r="O73" s="160"/>
      <c r="P73" s="189"/>
      <c r="Q73" s="160"/>
      <c r="R73" s="244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243"/>
      <c r="AU73" s="160"/>
      <c r="AV73" s="160"/>
      <c r="AW73" s="160"/>
      <c r="AX73" s="160"/>
      <c r="AY73" s="160"/>
      <c r="AZ73" s="189"/>
      <c r="BA73" s="160"/>
      <c r="BB73" s="24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</row>
    <row r="74" spans="1:113" ht="12.75">
      <c r="A74" s="103"/>
      <c r="B74" s="148"/>
      <c r="C74" s="150"/>
      <c r="D74" s="150"/>
      <c r="E74" s="150"/>
      <c r="F74" s="150" t="s">
        <v>264</v>
      </c>
      <c r="G74" s="150"/>
      <c r="H74" s="151"/>
      <c r="I74" s="235">
        <f>ROUND((SUM(I50:I69)-I73),0)</f>
        <v>254653</v>
      </c>
      <c r="J74" s="243"/>
      <c r="K74" s="160"/>
      <c r="L74" s="160"/>
      <c r="M74" s="160"/>
      <c r="N74" s="160"/>
      <c r="O74" s="160"/>
      <c r="P74" s="189"/>
      <c r="Q74" s="160"/>
      <c r="R74" s="244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243"/>
      <c r="AU74" s="160"/>
      <c r="AV74" s="160"/>
      <c r="AW74" s="160"/>
      <c r="AX74" s="160"/>
      <c r="AY74" s="160"/>
      <c r="AZ74" s="189"/>
      <c r="BA74" s="160"/>
      <c r="BB74" s="24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</row>
    <row r="75" spans="1:113" ht="12.75">
      <c r="A75" s="102"/>
      <c r="B75" s="150"/>
      <c r="C75" s="150"/>
      <c r="D75" s="150"/>
      <c r="E75" s="150"/>
      <c r="F75" s="150"/>
      <c r="G75" s="150" t="s">
        <v>265</v>
      </c>
      <c r="H75" s="151"/>
      <c r="I75" s="235">
        <f>ROUND((I18+I20-I47-I74),0)</f>
        <v>6448537</v>
      </c>
      <c r="J75" s="160"/>
      <c r="K75" s="160">
        <f>I18+I20+I22-I47-I74</f>
        <v>6528192</v>
      </c>
      <c r="L75" s="160"/>
      <c r="M75" s="160"/>
      <c r="N75" s="160"/>
      <c r="O75" s="160"/>
      <c r="P75" s="190"/>
      <c r="Q75" s="160"/>
      <c r="R75" s="24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60"/>
      <c r="AU75" s="160"/>
      <c r="AV75" s="160"/>
      <c r="AW75" s="160"/>
      <c r="AX75" s="160"/>
      <c r="AY75" s="160"/>
      <c r="AZ75" s="190"/>
      <c r="BA75" s="160"/>
      <c r="BB75" s="240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</row>
    <row r="76" spans="1:113" ht="12.75">
      <c r="A76" s="96" t="s">
        <v>272</v>
      </c>
      <c r="B76" s="102" t="s">
        <v>266</v>
      </c>
      <c r="C76" s="150"/>
      <c r="D76" s="150"/>
      <c r="E76" s="150"/>
      <c r="F76" s="150"/>
      <c r="G76" s="150"/>
      <c r="H76" s="150"/>
      <c r="I76" s="151"/>
      <c r="J76" s="160"/>
      <c r="K76" s="160"/>
      <c r="L76" s="160"/>
      <c r="M76" s="160"/>
      <c r="N76" s="160"/>
      <c r="O76" s="160"/>
      <c r="P76" s="190"/>
      <c r="Q76" s="160"/>
      <c r="R76" s="24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60"/>
      <c r="AU76" s="160"/>
      <c r="AV76" s="160"/>
      <c r="AW76" s="160"/>
      <c r="AX76" s="160"/>
      <c r="AY76" s="160"/>
      <c r="AZ76" s="190"/>
      <c r="BA76" s="160"/>
      <c r="BB76" s="240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</row>
    <row r="77" spans="1:113" ht="12.75">
      <c r="A77" s="143" t="s">
        <v>270</v>
      </c>
      <c r="B77" s="143" t="s">
        <v>267</v>
      </c>
      <c r="C77" s="171">
        <v>18705639</v>
      </c>
      <c r="D77" s="234">
        <v>18267.3</v>
      </c>
      <c r="E77" s="234">
        <v>18465</v>
      </c>
      <c r="F77" s="175">
        <v>30</v>
      </c>
      <c r="G77" s="322">
        <f>E77-D77</f>
        <v>197.70000000000073</v>
      </c>
      <c r="H77" s="143">
        <v>1303</v>
      </c>
      <c r="I77" s="175">
        <f>F77*G77+H77</f>
        <v>7234.000000000022</v>
      </c>
      <c r="J77" s="160"/>
      <c r="K77" s="160"/>
      <c r="L77" s="160"/>
      <c r="M77" s="160"/>
      <c r="N77" s="160"/>
      <c r="O77" s="160"/>
      <c r="P77" s="190"/>
      <c r="Q77" s="160"/>
      <c r="R77" s="24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60"/>
      <c r="AU77" s="160"/>
      <c r="AV77" s="160"/>
      <c r="AW77" s="160"/>
      <c r="AX77" s="160"/>
      <c r="AY77" s="160"/>
      <c r="AZ77" s="190"/>
      <c r="BA77" s="160"/>
      <c r="BB77" s="240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</row>
    <row r="78" spans="1:54" ht="12.75">
      <c r="A78" s="144"/>
      <c r="B78" s="144" t="s">
        <v>268</v>
      </c>
      <c r="C78" s="169"/>
      <c r="D78" s="144"/>
      <c r="E78" s="144"/>
      <c r="F78" s="164"/>
      <c r="G78" s="144"/>
      <c r="H78" s="144"/>
      <c r="I78" s="144"/>
      <c r="J78" s="160"/>
      <c r="K78" s="160"/>
      <c r="L78" s="160"/>
      <c r="M78" s="160"/>
      <c r="N78" s="160"/>
      <c r="O78" s="160"/>
      <c r="P78" s="190"/>
      <c r="Q78" s="160"/>
      <c r="R78" s="24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60"/>
      <c r="AU78" s="160"/>
      <c r="AV78" s="160"/>
      <c r="AW78" s="160"/>
      <c r="AX78" s="160"/>
      <c r="AY78" s="160"/>
      <c r="AZ78" s="190"/>
      <c r="BA78" s="160"/>
      <c r="BB78" s="240"/>
    </row>
    <row r="79" spans="1:113" ht="12.75">
      <c r="A79" s="143" t="s">
        <v>271</v>
      </c>
      <c r="B79" s="143" t="s">
        <v>269</v>
      </c>
      <c r="C79" s="171">
        <v>18705843</v>
      </c>
      <c r="D79" s="234">
        <v>1070.8</v>
      </c>
      <c r="E79" s="234">
        <v>1070.8</v>
      </c>
      <c r="F79" s="175">
        <v>30</v>
      </c>
      <c r="G79" s="233">
        <f>E79-D79</f>
        <v>0</v>
      </c>
      <c r="H79" s="143">
        <v>0</v>
      </c>
      <c r="I79" s="175">
        <f>F79*G79+H79</f>
        <v>0</v>
      </c>
      <c r="J79" s="160"/>
      <c r="K79" s="160"/>
      <c r="L79" s="160"/>
      <c r="M79" s="160"/>
      <c r="N79" s="160"/>
      <c r="O79" s="160"/>
      <c r="P79" s="190"/>
      <c r="Q79" s="160"/>
      <c r="R79" s="24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60"/>
      <c r="AU79" s="160"/>
      <c r="AV79" s="160"/>
      <c r="AW79" s="160"/>
      <c r="AX79" s="160"/>
      <c r="AY79" s="160"/>
      <c r="AZ79" s="190"/>
      <c r="BA79" s="160"/>
      <c r="BB79" s="240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</row>
    <row r="80" spans="1:113" ht="12.75">
      <c r="A80" s="144"/>
      <c r="B80" s="144" t="s">
        <v>268</v>
      </c>
      <c r="C80" s="169"/>
      <c r="D80" s="144"/>
      <c r="E80" s="144"/>
      <c r="F80" s="164"/>
      <c r="G80" s="144"/>
      <c r="H80" s="144"/>
      <c r="I80" s="144"/>
      <c r="J80" s="160"/>
      <c r="K80" s="160"/>
      <c r="L80" s="160"/>
      <c r="M80" s="160"/>
      <c r="N80" s="160"/>
      <c r="O80" s="160"/>
      <c r="P80" s="190"/>
      <c r="Q80" s="160"/>
      <c r="R80" s="24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60"/>
      <c r="AU80" s="160"/>
      <c r="AV80" s="160"/>
      <c r="AW80" s="160"/>
      <c r="AX80" s="160"/>
      <c r="AY80" s="160"/>
      <c r="AZ80" s="190"/>
      <c r="BA80" s="160"/>
      <c r="BB80" s="240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</row>
    <row r="81" spans="1:113" ht="12.75">
      <c r="A81" s="102"/>
      <c r="B81" s="150"/>
      <c r="C81" s="217"/>
      <c r="D81" s="199"/>
      <c r="E81" s="218"/>
      <c r="F81" s="218" t="s">
        <v>273</v>
      </c>
      <c r="G81" s="219"/>
      <c r="H81" s="151"/>
      <c r="I81" s="155">
        <f>I77+I79</f>
        <v>7234.000000000022</v>
      </c>
      <c r="J81" s="243"/>
      <c r="K81" s="160"/>
      <c r="L81" s="160"/>
      <c r="M81" s="160"/>
      <c r="N81" s="160"/>
      <c r="O81" s="160"/>
      <c r="P81" s="189"/>
      <c r="Q81" s="160"/>
      <c r="R81" s="244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243"/>
      <c r="AU81" s="160"/>
      <c r="AV81" s="160"/>
      <c r="AW81" s="160"/>
      <c r="AX81" s="160"/>
      <c r="AY81" s="160"/>
      <c r="AZ81" s="189"/>
      <c r="BA81" s="160"/>
      <c r="BB81" s="24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</row>
    <row r="82" spans="1:113" ht="12.75">
      <c r="A82" s="102"/>
      <c r="B82" s="150"/>
      <c r="C82" s="217"/>
      <c r="D82" s="199"/>
      <c r="E82" s="218"/>
      <c r="F82" s="218"/>
      <c r="G82" s="219" t="s">
        <v>274</v>
      </c>
      <c r="H82" s="151"/>
      <c r="I82" s="235">
        <f>I75+I81</f>
        <v>6455771</v>
      </c>
      <c r="J82" s="160"/>
      <c r="K82" s="160"/>
      <c r="L82" s="160"/>
      <c r="M82" s="160"/>
      <c r="N82" s="160"/>
      <c r="O82" s="160"/>
      <c r="P82" s="190"/>
      <c r="Q82" s="160"/>
      <c r="R82" s="24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60"/>
      <c r="AU82" s="160"/>
      <c r="AV82" s="160"/>
      <c r="AW82" s="160"/>
      <c r="AX82" s="160"/>
      <c r="AY82" s="160"/>
      <c r="AZ82" s="190"/>
      <c r="BA82" s="160"/>
      <c r="BB82" s="240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</row>
    <row r="83" spans="1:113" ht="12.75">
      <c r="A83" s="145" t="s">
        <v>275</v>
      </c>
      <c r="B83" s="146"/>
      <c r="C83" s="220"/>
      <c r="D83" s="202"/>
      <c r="E83" s="221"/>
      <c r="F83" s="221"/>
      <c r="G83" s="204"/>
      <c r="H83" s="146"/>
      <c r="I83" s="205"/>
      <c r="J83" s="160"/>
      <c r="K83" s="160"/>
      <c r="L83" s="160"/>
      <c r="M83" s="160"/>
      <c r="N83" s="160"/>
      <c r="O83" s="160"/>
      <c r="P83" s="190"/>
      <c r="Q83" s="160"/>
      <c r="R83" s="24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60"/>
      <c r="AU83" s="160"/>
      <c r="AV83" s="160"/>
      <c r="AW83" s="160"/>
      <c r="AX83" s="160"/>
      <c r="AY83" s="160"/>
      <c r="AZ83" s="190"/>
      <c r="BA83" s="160"/>
      <c r="BB83" s="240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</row>
    <row r="84" spans="1:113" ht="12.75">
      <c r="A84" s="222" t="s">
        <v>538</v>
      </c>
      <c r="B84" s="223"/>
      <c r="C84" s="223"/>
      <c r="D84" s="191"/>
      <c r="E84" s="148"/>
      <c r="F84" s="148"/>
      <c r="G84" s="148"/>
      <c r="H84" s="148"/>
      <c r="I84" s="209"/>
      <c r="J84" s="160"/>
      <c r="K84" s="160"/>
      <c r="L84" s="160"/>
      <c r="M84" s="160"/>
      <c r="N84" s="160"/>
      <c r="O84" s="160"/>
      <c r="P84" s="190"/>
      <c r="Q84" s="160"/>
      <c r="R84" s="24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60"/>
      <c r="AU84" s="160"/>
      <c r="AV84" s="160"/>
      <c r="AW84" s="160"/>
      <c r="AX84" s="160"/>
      <c r="AY84" s="160"/>
      <c r="AZ84" s="190"/>
      <c r="BA84" s="160"/>
      <c r="BB84" s="240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</row>
    <row r="85" spans="1:113" ht="12.75">
      <c r="A85" s="160" t="s">
        <v>279</v>
      </c>
      <c r="B85" s="160"/>
      <c r="C85" s="264"/>
      <c r="D85" s="181"/>
      <c r="E85" s="265"/>
      <c r="F85" s="265"/>
      <c r="G85" s="188"/>
      <c r="H85" s="160"/>
      <c r="I85" s="190"/>
      <c r="J85" s="160"/>
      <c r="K85" s="160"/>
      <c r="L85" s="160"/>
      <c r="M85" s="160"/>
      <c r="N85" s="160"/>
      <c r="O85" s="160"/>
      <c r="P85" s="190"/>
      <c r="Q85" s="160"/>
      <c r="R85" s="24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60"/>
      <c r="AU85" s="160"/>
      <c r="AV85" s="160"/>
      <c r="AW85" s="160"/>
      <c r="AX85" s="160"/>
      <c r="AY85" s="160"/>
      <c r="AZ85" s="190"/>
      <c r="BA85" s="160"/>
      <c r="BB85" s="240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</row>
    <row r="86" spans="1:113" ht="12.75">
      <c r="A86" s="160"/>
      <c r="B86" s="160"/>
      <c r="C86" s="181"/>
      <c r="D86" s="313" t="s">
        <v>280</v>
      </c>
      <c r="E86" s="313"/>
      <c r="F86" s="314"/>
      <c r="G86" s="243"/>
      <c r="H86" s="243"/>
      <c r="I86" s="189"/>
      <c r="J86" s="160"/>
      <c r="K86" s="160"/>
      <c r="L86" s="188"/>
      <c r="M86" s="188"/>
      <c r="N86" s="160"/>
      <c r="O86" s="160"/>
      <c r="P86" s="190"/>
      <c r="Q86" s="160"/>
      <c r="R86" s="24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60"/>
      <c r="AU86" s="160"/>
      <c r="AV86" s="188"/>
      <c r="AW86" s="188"/>
      <c r="AX86" s="160"/>
      <c r="AY86" s="160"/>
      <c r="AZ86" s="190"/>
      <c r="BA86" s="160"/>
      <c r="BB86" s="240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</row>
    <row r="87" spans="1:113" ht="12.75">
      <c r="A87" s="160"/>
      <c r="B87" s="160"/>
      <c r="C87" s="181"/>
      <c r="D87" s="313" t="s">
        <v>531</v>
      </c>
      <c r="E87" s="313"/>
      <c r="F87" s="314"/>
      <c r="G87" s="243"/>
      <c r="H87" s="243"/>
      <c r="I87" s="189"/>
      <c r="J87" s="243"/>
      <c r="K87" s="160"/>
      <c r="L87" s="160"/>
      <c r="M87" s="160"/>
      <c r="N87" s="160"/>
      <c r="O87" s="160"/>
      <c r="P87" s="189"/>
      <c r="Q87" s="160"/>
      <c r="R87" s="244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243"/>
      <c r="AU87" s="160"/>
      <c r="AV87" s="160"/>
      <c r="AW87" s="160"/>
      <c r="AX87" s="160"/>
      <c r="AY87" s="160"/>
      <c r="AZ87" s="189"/>
      <c r="BA87" s="160"/>
      <c r="BB87" s="24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</row>
    <row r="88" spans="1:113" ht="12.75">
      <c r="A88" s="160"/>
      <c r="B88" s="160"/>
      <c r="C88" s="264"/>
      <c r="D88" s="313" t="s">
        <v>539</v>
      </c>
      <c r="E88" s="313"/>
      <c r="F88" s="314"/>
      <c r="G88" s="243"/>
      <c r="H88" s="243"/>
      <c r="I88" s="189"/>
      <c r="J88" s="160"/>
      <c r="K88" s="160"/>
      <c r="L88" s="160"/>
      <c r="M88" s="160"/>
      <c r="N88" s="160"/>
      <c r="O88" s="160"/>
      <c r="P88" s="190"/>
      <c r="Q88" s="160"/>
      <c r="R88" s="24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60"/>
      <c r="AU88" s="160"/>
      <c r="AV88" s="160"/>
      <c r="AW88" s="160"/>
      <c r="AX88" s="160"/>
      <c r="AY88" s="160"/>
      <c r="AZ88" s="190"/>
      <c r="BA88" s="160"/>
      <c r="BB88" s="240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</row>
    <row r="89" spans="1:113" ht="12.75">
      <c r="A89" s="120"/>
      <c r="B89" s="120"/>
      <c r="C89" s="120"/>
      <c r="D89" s="120" t="s">
        <v>192</v>
      </c>
      <c r="E89" s="120"/>
      <c r="F89" s="120"/>
      <c r="G89" s="120"/>
      <c r="H89" s="120"/>
      <c r="I89" s="120"/>
      <c r="J89" s="160"/>
      <c r="K89" s="160"/>
      <c r="L89" s="160"/>
      <c r="M89" s="160"/>
      <c r="N89" s="160"/>
      <c r="O89" s="160"/>
      <c r="P89" s="190"/>
      <c r="Q89" s="160"/>
      <c r="R89" s="24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60" t="s">
        <v>530</v>
      </c>
      <c r="AU89" s="120"/>
      <c r="AV89" s="120"/>
      <c r="AW89" s="120"/>
      <c r="AX89" s="120"/>
      <c r="AY89" s="120"/>
      <c r="AZ89" s="120"/>
      <c r="BA89" s="120"/>
      <c r="BB89" s="120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</row>
    <row r="90" spans="1:113" ht="12.75">
      <c r="A90" s="120"/>
      <c r="B90" s="120"/>
      <c r="C90" s="120"/>
      <c r="D90" s="120" t="s">
        <v>193</v>
      </c>
      <c r="E90" s="120"/>
      <c r="F90" s="120"/>
      <c r="G90" s="120"/>
      <c r="H90" s="120"/>
      <c r="I90" s="120"/>
      <c r="J90" s="243"/>
      <c r="K90" s="160"/>
      <c r="L90" s="160"/>
      <c r="M90" s="160"/>
      <c r="N90" s="160"/>
      <c r="O90" s="160"/>
      <c r="P90" s="189"/>
      <c r="Q90" s="160"/>
      <c r="R90" s="244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60" t="s">
        <v>535</v>
      </c>
      <c r="AU90" s="120"/>
      <c r="AV90" s="120"/>
      <c r="AW90" s="120"/>
      <c r="AX90" s="120"/>
      <c r="AY90" s="120"/>
      <c r="AZ90" s="120"/>
      <c r="BA90" s="120"/>
      <c r="BB90" s="120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</row>
    <row r="91" spans="1:113" ht="13.5">
      <c r="A91" s="120"/>
      <c r="B91" s="120"/>
      <c r="C91" s="120"/>
      <c r="D91" s="120"/>
      <c r="E91" s="120"/>
      <c r="F91" s="120"/>
      <c r="G91" s="120"/>
      <c r="H91" s="120"/>
      <c r="I91" s="120"/>
      <c r="J91" s="243"/>
      <c r="K91" s="160"/>
      <c r="L91" s="160"/>
      <c r="M91" s="160"/>
      <c r="N91" s="160"/>
      <c r="O91" s="160"/>
      <c r="P91" s="189"/>
      <c r="Q91" s="160"/>
      <c r="R91" s="244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60"/>
      <c r="AU91" s="120" t="s">
        <v>4</v>
      </c>
      <c r="AV91" s="120"/>
      <c r="AW91" s="120"/>
      <c r="AX91" s="120"/>
      <c r="AY91" s="254" t="s">
        <v>70</v>
      </c>
      <c r="AZ91" s="196" t="s">
        <v>557</v>
      </c>
      <c r="BA91" s="120"/>
      <c r="BB91" s="120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</row>
    <row r="92" spans="1:113" ht="12.75">
      <c r="A92" s="120"/>
      <c r="B92" s="120"/>
      <c r="C92" s="120" t="s">
        <v>194</v>
      </c>
      <c r="D92" s="120"/>
      <c r="E92" s="120"/>
      <c r="F92" s="120"/>
      <c r="G92" s="120"/>
      <c r="H92" s="120"/>
      <c r="I92" s="120"/>
      <c r="J92" s="243"/>
      <c r="K92" s="160"/>
      <c r="L92" s="160"/>
      <c r="M92" s="160"/>
      <c r="N92" s="160"/>
      <c r="O92" s="160"/>
      <c r="P92" s="189"/>
      <c r="Q92" s="160"/>
      <c r="R92" s="244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50" t="s">
        <v>108</v>
      </c>
      <c r="AU92" s="150"/>
      <c r="AV92" s="150"/>
      <c r="AW92" s="150"/>
      <c r="AX92" s="150"/>
      <c r="AY92" s="151"/>
      <c r="AZ92" s="96" t="s">
        <v>175</v>
      </c>
      <c r="BA92" s="96"/>
      <c r="BB92" s="96" t="s">
        <v>109</v>
      </c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</row>
    <row r="93" spans="1:113" ht="12.75">
      <c r="A93" s="120"/>
      <c r="B93" s="120"/>
      <c r="C93" s="120"/>
      <c r="D93" s="277" t="s">
        <v>564</v>
      </c>
      <c r="E93" s="277"/>
      <c r="F93" s="120"/>
      <c r="G93" s="120"/>
      <c r="H93" s="120"/>
      <c r="I93" s="120"/>
      <c r="J93" s="243"/>
      <c r="K93" s="160"/>
      <c r="L93" s="160"/>
      <c r="M93" s="160"/>
      <c r="N93" s="160"/>
      <c r="O93" s="160"/>
      <c r="P93" s="189"/>
      <c r="Q93" s="160"/>
      <c r="R93" s="244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273" t="s">
        <v>301</v>
      </c>
      <c r="AU93" s="150"/>
      <c r="AV93" s="150"/>
      <c r="AW93" s="150"/>
      <c r="AX93" s="150"/>
      <c r="AY93" s="151"/>
      <c r="AZ93" s="235">
        <v>54411</v>
      </c>
      <c r="BA93" s="199"/>
      <c r="BB93" s="299">
        <f>AZ93*BB58</f>
        <v>195452.79780095568</v>
      </c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</row>
    <row r="94" spans="1:113" ht="12.75">
      <c r="A94" s="120" t="s">
        <v>528</v>
      </c>
      <c r="B94" s="120"/>
      <c r="C94" s="120"/>
      <c r="D94" s="120"/>
      <c r="E94" s="120"/>
      <c r="F94" s="120"/>
      <c r="G94" s="120"/>
      <c r="H94" s="120"/>
      <c r="I94" s="120"/>
      <c r="J94" s="243"/>
      <c r="K94" s="160"/>
      <c r="L94" s="160"/>
      <c r="M94" s="160"/>
      <c r="N94" s="160"/>
      <c r="O94" s="160"/>
      <c r="P94" s="189"/>
      <c r="Q94" s="160"/>
      <c r="R94" s="244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273" t="s">
        <v>300</v>
      </c>
      <c r="AU94" s="150"/>
      <c r="AV94" s="150"/>
      <c r="AW94" s="150"/>
      <c r="AX94" s="150"/>
      <c r="AY94" s="151"/>
      <c r="AZ94" s="235">
        <f>AZ131-SUM(AZ112:AZ120)-AZ109-AZ103-AZ96-AZ95-AZ93</f>
        <v>5042334</v>
      </c>
      <c r="BA94" s="199"/>
      <c r="BB94" s="299">
        <f>AZ94*BB58</f>
        <v>18112850.117566008</v>
      </c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</row>
    <row r="95" spans="1:113" ht="12.75">
      <c r="A95" s="120" t="s">
        <v>196</v>
      </c>
      <c r="B95" s="120"/>
      <c r="C95" s="120"/>
      <c r="D95" s="120"/>
      <c r="E95" s="120"/>
      <c r="F95" s="120"/>
      <c r="G95" s="120"/>
      <c r="H95" s="120"/>
      <c r="I95" s="120"/>
      <c r="J95" s="243"/>
      <c r="K95" s="243"/>
      <c r="L95" s="160"/>
      <c r="M95" s="160"/>
      <c r="N95" s="160"/>
      <c r="O95" s="160"/>
      <c r="P95" s="189"/>
      <c r="Q95" s="160"/>
      <c r="R95" s="244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273" t="s">
        <v>537</v>
      </c>
      <c r="AU95" s="150"/>
      <c r="AV95" s="150"/>
      <c r="AW95" s="150"/>
      <c r="AX95" s="150"/>
      <c r="AY95" s="151"/>
      <c r="AZ95" s="235">
        <v>92380</v>
      </c>
      <c r="BA95" s="199"/>
      <c r="BB95" s="299">
        <f>AZ95*BB58</f>
        <v>331843.36734947504</v>
      </c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</row>
    <row r="96" spans="1:113" ht="12.75">
      <c r="A96" s="120" t="s">
        <v>198</v>
      </c>
      <c r="B96" s="120"/>
      <c r="C96" s="120"/>
      <c r="D96" s="120"/>
      <c r="E96" s="120"/>
      <c r="F96" s="120" t="s">
        <v>197</v>
      </c>
      <c r="G96" s="120"/>
      <c r="H96" s="120"/>
      <c r="I96" s="120"/>
      <c r="J96" s="243"/>
      <c r="K96" s="243"/>
      <c r="L96" s="160"/>
      <c r="M96" s="160"/>
      <c r="N96" s="160"/>
      <c r="O96" s="160"/>
      <c r="P96" s="189"/>
      <c r="Q96" s="160"/>
      <c r="R96" s="244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255" t="s">
        <v>85</v>
      </c>
      <c r="AU96" s="146"/>
      <c r="AV96" s="146"/>
      <c r="AW96" s="146"/>
      <c r="AX96" s="146"/>
      <c r="AY96" s="147"/>
      <c r="AZ96" s="300">
        <f>SUM(AZ97:AZ102)</f>
        <v>981609</v>
      </c>
      <c r="BA96" s="202"/>
      <c r="BB96" s="299">
        <f>AZ96*BB58</f>
        <v>3526092.61723913</v>
      </c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</row>
    <row r="97" spans="1:113" ht="12.75">
      <c r="A97" s="143" t="s">
        <v>335</v>
      </c>
      <c r="B97" s="171" t="s">
        <v>199</v>
      </c>
      <c r="C97" s="143" t="s">
        <v>200</v>
      </c>
      <c r="D97" s="224" t="s">
        <v>286</v>
      </c>
      <c r="E97" s="225"/>
      <c r="F97" s="143" t="s">
        <v>201</v>
      </c>
      <c r="G97" s="143" t="s">
        <v>404</v>
      </c>
      <c r="H97" s="143" t="s">
        <v>202</v>
      </c>
      <c r="I97" s="143" t="s">
        <v>191</v>
      </c>
      <c r="J97" s="243"/>
      <c r="K97" s="243"/>
      <c r="L97" s="160"/>
      <c r="M97" s="160"/>
      <c r="N97" s="160"/>
      <c r="O97" s="160"/>
      <c r="P97" s="189"/>
      <c r="Q97" s="160"/>
      <c r="R97" s="244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59" t="s">
        <v>87</v>
      </c>
      <c r="AU97" s="160"/>
      <c r="AV97" s="160"/>
      <c r="AW97" s="160"/>
      <c r="AX97" s="160"/>
      <c r="AY97" s="161"/>
      <c r="AZ97" s="163">
        <v>353967</v>
      </c>
      <c r="BA97" s="181"/>
      <c r="BB97" s="299">
        <f>AZ97*BB58</f>
        <v>1271504.6677916392</v>
      </c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</row>
    <row r="98" spans="1:113" ht="12.75">
      <c r="A98" s="173"/>
      <c r="B98" s="173"/>
      <c r="C98" s="173"/>
      <c r="D98" s="143" t="s">
        <v>203</v>
      </c>
      <c r="E98" s="145" t="s">
        <v>204</v>
      </c>
      <c r="F98" s="173" t="s">
        <v>205</v>
      </c>
      <c r="G98" s="173" t="s">
        <v>190</v>
      </c>
      <c r="H98" s="173"/>
      <c r="I98" s="173" t="s">
        <v>206</v>
      </c>
      <c r="J98" s="243"/>
      <c r="K98" s="243"/>
      <c r="L98" s="160"/>
      <c r="M98" s="160"/>
      <c r="N98" s="160"/>
      <c r="O98" s="160"/>
      <c r="P98" s="189"/>
      <c r="Q98" s="160"/>
      <c r="R98" s="244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59" t="s">
        <v>88</v>
      </c>
      <c r="AU98" s="160"/>
      <c r="AV98" s="160"/>
      <c r="AW98" s="160"/>
      <c r="AX98" s="160"/>
      <c r="AY98" s="161"/>
      <c r="AZ98" s="163">
        <v>492825</v>
      </c>
      <c r="BA98" s="181"/>
      <c r="BB98" s="299">
        <f>AZ98*BB58</f>
        <v>1770304.2597315982</v>
      </c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</row>
    <row r="99" spans="1:113" ht="12.75">
      <c r="A99" s="144"/>
      <c r="B99" s="144"/>
      <c r="C99" s="144"/>
      <c r="D99" s="144" t="s">
        <v>207</v>
      </c>
      <c r="E99" s="103" t="s">
        <v>207</v>
      </c>
      <c r="F99" s="144" t="s">
        <v>208</v>
      </c>
      <c r="G99" s="144"/>
      <c r="H99" s="144"/>
      <c r="I99" s="144"/>
      <c r="J99" s="160"/>
      <c r="K99" s="160"/>
      <c r="L99" s="160"/>
      <c r="M99" s="160"/>
      <c r="N99" s="160"/>
      <c r="O99" s="160"/>
      <c r="P99" s="189"/>
      <c r="Q99" s="160"/>
      <c r="R99" s="244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59" t="s">
        <v>89</v>
      </c>
      <c r="AU99" s="160"/>
      <c r="AV99" s="160"/>
      <c r="AW99" s="160"/>
      <c r="AX99" s="160"/>
      <c r="AY99" s="161"/>
      <c r="AZ99" s="163">
        <v>130797</v>
      </c>
      <c r="BA99" s="181"/>
      <c r="BB99" s="299">
        <f>AZ99*BB58</f>
        <v>469843.22276693315</v>
      </c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</row>
    <row r="100" spans="1:113" ht="12.75">
      <c r="A100" s="152">
        <v>1</v>
      </c>
      <c r="B100" s="152">
        <v>2</v>
      </c>
      <c r="C100" s="152">
        <v>3</v>
      </c>
      <c r="D100" s="152">
        <v>4</v>
      </c>
      <c r="E100" s="152">
        <v>5</v>
      </c>
      <c r="F100" s="152">
        <v>6</v>
      </c>
      <c r="G100" s="152">
        <v>7</v>
      </c>
      <c r="H100" s="152">
        <v>8</v>
      </c>
      <c r="I100" s="152">
        <v>9</v>
      </c>
      <c r="J100" s="160"/>
      <c r="K100" s="160"/>
      <c r="L100" s="160"/>
      <c r="M100" s="160"/>
      <c r="N100" s="160"/>
      <c r="O100" s="160"/>
      <c r="P100" s="189"/>
      <c r="Q100" s="160"/>
      <c r="R100" s="244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59" t="s">
        <v>90</v>
      </c>
      <c r="AU100" s="160"/>
      <c r="AV100" s="160"/>
      <c r="AW100" s="160"/>
      <c r="AX100" s="160"/>
      <c r="AY100" s="161"/>
      <c r="AZ100" s="163">
        <v>320</v>
      </c>
      <c r="BA100" s="181"/>
      <c r="BB100" s="299">
        <f>AZ100*BB58</f>
        <v>1149.4899063848452</v>
      </c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</row>
    <row r="101" spans="1:113" ht="12.75">
      <c r="A101" s="103"/>
      <c r="B101" s="148"/>
      <c r="C101" s="320" t="s">
        <v>287</v>
      </c>
      <c r="D101" s="320"/>
      <c r="E101" s="148"/>
      <c r="F101" s="148"/>
      <c r="G101" s="148"/>
      <c r="H101" s="148"/>
      <c r="I101" s="149"/>
      <c r="J101" s="160"/>
      <c r="K101" s="160"/>
      <c r="L101" s="160"/>
      <c r="M101" s="160"/>
      <c r="N101" s="160"/>
      <c r="O101" s="160"/>
      <c r="P101" s="189"/>
      <c r="Q101" s="160"/>
      <c r="R101" s="244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59" t="s">
        <v>91</v>
      </c>
      <c r="AU101" s="160"/>
      <c r="AV101" s="160"/>
      <c r="AW101" s="160"/>
      <c r="AX101" s="160"/>
      <c r="AY101" s="161"/>
      <c r="AZ101" s="163">
        <v>2700</v>
      </c>
      <c r="BA101" s="181"/>
      <c r="BB101" s="299">
        <f>AZ101*BB58</f>
        <v>9698.821085122132</v>
      </c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</row>
    <row r="102" spans="1:113" ht="12.75">
      <c r="A102" s="96"/>
      <c r="B102" s="102" t="s">
        <v>526</v>
      </c>
      <c r="C102" s="150"/>
      <c r="D102" s="150"/>
      <c r="E102" s="150"/>
      <c r="F102" s="150"/>
      <c r="G102" s="150"/>
      <c r="H102" s="150"/>
      <c r="I102" s="151"/>
      <c r="J102" s="160"/>
      <c r="K102" s="160"/>
      <c r="L102" s="160"/>
      <c r="M102" s="160"/>
      <c r="N102" s="160"/>
      <c r="O102" s="160"/>
      <c r="P102" s="189"/>
      <c r="Q102" s="160"/>
      <c r="R102" s="244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03" t="s">
        <v>41</v>
      </c>
      <c r="AU102" s="148"/>
      <c r="AV102" s="148"/>
      <c r="AW102" s="148"/>
      <c r="AX102" s="148"/>
      <c r="AY102" s="149"/>
      <c r="AZ102" s="164">
        <v>1000</v>
      </c>
      <c r="BA102" s="191"/>
      <c r="BB102" s="299">
        <f>AZ102*BB58</f>
        <v>3592.155957452642</v>
      </c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</row>
    <row r="103" spans="1:113" ht="12.75">
      <c r="A103" s="171">
        <v>1</v>
      </c>
      <c r="B103" s="143" t="s">
        <v>249</v>
      </c>
      <c r="C103" s="197">
        <v>804152757</v>
      </c>
      <c r="D103" s="230">
        <v>2028.9682</v>
      </c>
      <c r="E103" s="230">
        <v>2076.3022</v>
      </c>
      <c r="F103" s="155">
        <v>36000</v>
      </c>
      <c r="G103" s="252">
        <f>E103-D103</f>
        <v>47.33400000000006</v>
      </c>
      <c r="H103" s="96"/>
      <c r="I103" s="155">
        <f>F103*G103+H103</f>
        <v>1704024.000000002</v>
      </c>
      <c r="J103" s="160"/>
      <c r="K103" s="160"/>
      <c r="L103" s="160"/>
      <c r="M103" s="160"/>
      <c r="N103" s="160"/>
      <c r="O103" s="160"/>
      <c r="P103" s="189"/>
      <c r="Q103" s="160"/>
      <c r="R103" s="244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255" t="s">
        <v>303</v>
      </c>
      <c r="AU103" s="146"/>
      <c r="AV103" s="146"/>
      <c r="AW103" s="146"/>
      <c r="AX103" s="146"/>
      <c r="AY103" s="147"/>
      <c r="AZ103" s="300">
        <f>SUM(AZ104:AZ108)</f>
        <v>13966</v>
      </c>
      <c r="BA103" s="202"/>
      <c r="BB103" s="299">
        <f>AZ103*BB58</f>
        <v>50168.05010178359</v>
      </c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</row>
    <row r="104" spans="1:113" ht="12.75">
      <c r="A104" s="144"/>
      <c r="B104" s="103" t="s">
        <v>250</v>
      </c>
      <c r="C104" s="213">
        <v>109054169</v>
      </c>
      <c r="D104" s="230">
        <v>2526.4346</v>
      </c>
      <c r="E104" s="230">
        <v>2592.399</v>
      </c>
      <c r="F104" s="155">
        <v>36000</v>
      </c>
      <c r="G104" s="252">
        <f>E104-D104</f>
        <v>65.96439999999984</v>
      </c>
      <c r="H104" s="96"/>
      <c r="I104" s="155">
        <f>F104*G104+H104</f>
        <v>2374718.3999999943</v>
      </c>
      <c r="J104" s="160"/>
      <c r="K104" s="160"/>
      <c r="L104" s="188"/>
      <c r="M104" s="188"/>
      <c r="N104" s="160"/>
      <c r="O104" s="160"/>
      <c r="P104" s="189"/>
      <c r="Q104" s="160"/>
      <c r="R104" s="244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59"/>
      <c r="AU104" s="160" t="s">
        <v>389</v>
      </c>
      <c r="AV104" s="160"/>
      <c r="AW104" s="160"/>
      <c r="AX104" s="160"/>
      <c r="AY104" s="161"/>
      <c r="AZ104" s="163">
        <v>2720</v>
      </c>
      <c r="BA104" s="181"/>
      <c r="BB104" s="299">
        <f>AZ104*BB58</f>
        <v>9770.664204271185</v>
      </c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</row>
    <row r="105" spans="1:113" ht="12.75">
      <c r="A105" s="102"/>
      <c r="B105" s="150"/>
      <c r="C105" s="148"/>
      <c r="D105" s="150"/>
      <c r="E105" s="150"/>
      <c r="F105" s="214" t="s">
        <v>212</v>
      </c>
      <c r="G105" s="150"/>
      <c r="H105" s="151"/>
      <c r="I105" s="155">
        <f>I103+I104</f>
        <v>4078742.3999999966</v>
      </c>
      <c r="J105" s="160"/>
      <c r="K105" s="160"/>
      <c r="L105" s="160"/>
      <c r="M105" s="160"/>
      <c r="N105" s="160"/>
      <c r="O105" s="160"/>
      <c r="P105" s="190"/>
      <c r="Q105" s="160"/>
      <c r="R105" s="16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59" t="s">
        <v>385</v>
      </c>
      <c r="AU105" s="160"/>
      <c r="AV105" s="160" t="s">
        <v>304</v>
      </c>
      <c r="AW105" s="160"/>
      <c r="AX105" s="160"/>
      <c r="AY105" s="161"/>
      <c r="AZ105" s="163">
        <v>4720</v>
      </c>
      <c r="BA105" s="181"/>
      <c r="BB105" s="299">
        <f>AZ105*BB58</f>
        <v>16954.97611917647</v>
      </c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</row>
    <row r="106" spans="1:113" ht="12.75">
      <c r="A106" s="96" t="s">
        <v>213</v>
      </c>
      <c r="B106" s="102" t="s">
        <v>214</v>
      </c>
      <c r="C106" s="150"/>
      <c r="D106" s="150"/>
      <c r="E106" s="150"/>
      <c r="F106" s="150"/>
      <c r="G106" s="150"/>
      <c r="H106" s="150"/>
      <c r="I106" s="151"/>
      <c r="J106" s="160"/>
      <c r="K106" s="160"/>
      <c r="L106" s="160"/>
      <c r="M106" s="160"/>
      <c r="N106" s="160"/>
      <c r="O106" s="160"/>
      <c r="P106" s="190"/>
      <c r="Q106" s="160"/>
      <c r="R106" s="16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59" t="s">
        <v>385</v>
      </c>
      <c r="AU106" s="160"/>
      <c r="AV106" s="160" t="s">
        <v>390</v>
      </c>
      <c r="AW106" s="160"/>
      <c r="AX106" s="160"/>
      <c r="AY106" s="161"/>
      <c r="AZ106" s="163">
        <v>50</v>
      </c>
      <c r="BA106" s="181"/>
      <c r="BB106" s="299">
        <f>AZ106*BB58</f>
        <v>179.6077978726321</v>
      </c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</row>
    <row r="107" spans="1:113" ht="12.75">
      <c r="A107" s="96" t="s">
        <v>215</v>
      </c>
      <c r="B107" s="96" t="s">
        <v>216</v>
      </c>
      <c r="C107" s="213">
        <v>109053225</v>
      </c>
      <c r="D107" s="230">
        <v>7216.7659</v>
      </c>
      <c r="E107" s="230">
        <v>7266.2509</v>
      </c>
      <c r="F107" s="155">
        <v>21000</v>
      </c>
      <c r="G107" s="252">
        <f>E107-D107</f>
        <v>49.48499999999967</v>
      </c>
      <c r="H107" s="96"/>
      <c r="I107" s="155">
        <f>F107*G107+H107</f>
        <v>1039184.9999999931</v>
      </c>
      <c r="J107" s="160"/>
      <c r="K107" s="160"/>
      <c r="L107" s="160"/>
      <c r="M107" s="160"/>
      <c r="N107" s="160"/>
      <c r="O107" s="160"/>
      <c r="P107" s="190"/>
      <c r="Q107" s="160"/>
      <c r="R107" s="16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60"/>
      <c r="AU107" s="160"/>
      <c r="AV107" s="160" t="s">
        <v>391</v>
      </c>
      <c r="AW107" s="160"/>
      <c r="AX107" s="160"/>
      <c r="AY107" s="160"/>
      <c r="AZ107" s="163">
        <v>260</v>
      </c>
      <c r="BA107" s="168"/>
      <c r="BB107" s="299">
        <f>AZ107*BB58</f>
        <v>933.9605489376868</v>
      </c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</row>
    <row r="108" spans="1:113" ht="12.75">
      <c r="A108" s="96" t="s">
        <v>521</v>
      </c>
      <c r="B108" s="150" t="s">
        <v>524</v>
      </c>
      <c r="C108" s="148"/>
      <c r="D108" s="150"/>
      <c r="E108" s="150"/>
      <c r="F108" s="214"/>
      <c r="G108" s="150"/>
      <c r="H108" s="151"/>
      <c r="I108" s="155"/>
      <c r="J108" s="160"/>
      <c r="K108" s="160"/>
      <c r="L108" s="160"/>
      <c r="M108" s="160"/>
      <c r="N108" s="160"/>
      <c r="O108" s="160"/>
      <c r="P108" s="190"/>
      <c r="Q108" s="160"/>
      <c r="R108" s="16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03" t="s">
        <v>155</v>
      </c>
      <c r="AU108" s="148"/>
      <c r="AV108" s="208"/>
      <c r="AW108" s="208"/>
      <c r="AX108" s="148"/>
      <c r="AY108" s="149"/>
      <c r="AZ108" s="164">
        <v>6216</v>
      </c>
      <c r="BA108" s="191"/>
      <c r="BB108" s="299">
        <f>AZ108*BB58</f>
        <v>22328.84143152562</v>
      </c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</row>
    <row r="109" spans="1:113" ht="12.75">
      <c r="A109" s="96" t="s">
        <v>522</v>
      </c>
      <c r="B109" s="102" t="s">
        <v>525</v>
      </c>
      <c r="C109" s="150"/>
      <c r="D109" s="150"/>
      <c r="E109" s="150"/>
      <c r="F109" s="150"/>
      <c r="G109" s="150"/>
      <c r="H109" s="151"/>
      <c r="I109" s="280"/>
      <c r="J109" s="160"/>
      <c r="K109" s="160"/>
      <c r="L109" s="160"/>
      <c r="M109" s="160"/>
      <c r="N109" s="160"/>
      <c r="O109" s="160"/>
      <c r="P109" s="190"/>
      <c r="Q109" s="160"/>
      <c r="R109" s="244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255" t="s">
        <v>536</v>
      </c>
      <c r="AU109" s="146"/>
      <c r="AV109" s="146"/>
      <c r="AW109" s="146"/>
      <c r="AX109" s="146"/>
      <c r="AY109" s="147"/>
      <c r="AZ109" s="300">
        <f>AZ110+AZ111</f>
        <v>120954</v>
      </c>
      <c r="BA109" s="202"/>
      <c r="BB109" s="299">
        <f>AZ109*BB58</f>
        <v>434485.6316777268</v>
      </c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</row>
    <row r="110" spans="1:113" ht="12.75">
      <c r="A110" s="102" t="s">
        <v>523</v>
      </c>
      <c r="B110" s="102"/>
      <c r="C110" s="371"/>
      <c r="D110" s="372"/>
      <c r="E110" s="372"/>
      <c r="F110" s="373"/>
      <c r="G110" s="374"/>
      <c r="H110" s="151"/>
      <c r="I110" s="280"/>
      <c r="J110" s="160"/>
      <c r="K110" s="160"/>
      <c r="L110" s="160"/>
      <c r="M110" s="160"/>
      <c r="N110" s="160"/>
      <c r="O110" s="160"/>
      <c r="P110" s="190"/>
      <c r="Q110" s="160"/>
      <c r="R110" s="16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59" t="s">
        <v>93</v>
      </c>
      <c r="AU110" s="160"/>
      <c r="AV110" s="160"/>
      <c r="AW110" s="160"/>
      <c r="AX110" s="160"/>
      <c r="AY110" s="161"/>
      <c r="AZ110" s="163">
        <v>8432</v>
      </c>
      <c r="BA110" s="181"/>
      <c r="BB110" s="299">
        <f>AZ110*BB58</f>
        <v>30289.059033240675</v>
      </c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</row>
    <row r="111" spans="1:113" ht="12.75">
      <c r="A111" s="96" t="s">
        <v>219</v>
      </c>
      <c r="B111" s="102" t="s">
        <v>220</v>
      </c>
      <c r="C111" s="150"/>
      <c r="D111" s="150"/>
      <c r="E111" s="150"/>
      <c r="F111" s="150"/>
      <c r="G111" s="150"/>
      <c r="H111" s="150"/>
      <c r="I111" s="151"/>
      <c r="J111" s="160"/>
      <c r="K111" s="160"/>
      <c r="L111" s="160"/>
      <c r="M111" s="160"/>
      <c r="N111" s="160"/>
      <c r="O111" s="160"/>
      <c r="P111" s="160"/>
      <c r="Q111" s="160"/>
      <c r="R111" s="16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03" t="s">
        <v>94</v>
      </c>
      <c r="AU111" s="148"/>
      <c r="AV111" s="148"/>
      <c r="AW111" s="148"/>
      <c r="AX111" s="148"/>
      <c r="AY111" s="149"/>
      <c r="AZ111" s="164">
        <v>112522</v>
      </c>
      <c r="BA111" s="191"/>
      <c r="BB111" s="299">
        <f>AZ111*BB58</f>
        <v>404196.57264448615</v>
      </c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</row>
    <row r="112" spans="1:113" ht="12.75">
      <c r="A112" s="143" t="s">
        <v>221</v>
      </c>
      <c r="B112" s="143" t="s">
        <v>224</v>
      </c>
      <c r="C112" s="197"/>
      <c r="D112" s="171"/>
      <c r="E112" s="171"/>
      <c r="F112" s="175"/>
      <c r="G112" s="171"/>
      <c r="H112" s="171"/>
      <c r="I112" s="171"/>
      <c r="J112" s="160"/>
      <c r="K112" s="160"/>
      <c r="L112" s="160"/>
      <c r="M112" s="160"/>
      <c r="N112" s="160"/>
      <c r="O112" s="160"/>
      <c r="P112" s="160"/>
      <c r="Q112" s="160"/>
      <c r="R112" s="16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273" t="s">
        <v>392</v>
      </c>
      <c r="AU112" s="150"/>
      <c r="AV112" s="150"/>
      <c r="AW112" s="150"/>
      <c r="AX112" s="150"/>
      <c r="AY112" s="151"/>
      <c r="AZ112" s="235">
        <v>18700</v>
      </c>
      <c r="BA112" s="199"/>
      <c r="BB112" s="299">
        <f>AZ112*BB58</f>
        <v>67173.31640436439</v>
      </c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</row>
    <row r="113" spans="1:113" ht="12.75">
      <c r="A113" s="144"/>
      <c r="B113" s="144" t="s">
        <v>222</v>
      </c>
      <c r="C113" s="198">
        <v>109056121</v>
      </c>
      <c r="D113" s="323">
        <v>6351.9541</v>
      </c>
      <c r="E113" s="323">
        <v>6377.8266</v>
      </c>
      <c r="F113" s="164">
        <v>4800</v>
      </c>
      <c r="G113" s="324">
        <f aca="true" t="shared" si="2" ref="G113:G132">E113-D113</f>
        <v>25.8725000000004</v>
      </c>
      <c r="H113" s="164"/>
      <c r="I113" s="164">
        <f>F113*G113+H113</f>
        <v>124188.00000000192</v>
      </c>
      <c r="J113" s="160"/>
      <c r="K113" s="160"/>
      <c r="L113" s="160"/>
      <c r="M113" s="160"/>
      <c r="N113" s="160"/>
      <c r="O113" s="160"/>
      <c r="P113" s="160"/>
      <c r="Q113" s="160"/>
      <c r="R113" s="16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273" t="s">
        <v>154</v>
      </c>
      <c r="AU113" s="150"/>
      <c r="AV113" s="150"/>
      <c r="AW113" s="150"/>
      <c r="AX113" s="150"/>
      <c r="AY113" s="151"/>
      <c r="AZ113" s="235">
        <v>20184</v>
      </c>
      <c r="BA113" s="199"/>
      <c r="BB113" s="299">
        <f>AZ113*BB58</f>
        <v>72504.07584522411</v>
      </c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</row>
    <row r="114" spans="1:113" ht="12.75">
      <c r="A114" s="143" t="s">
        <v>223</v>
      </c>
      <c r="B114" s="143" t="s">
        <v>235</v>
      </c>
      <c r="C114" s="197">
        <v>623125232</v>
      </c>
      <c r="D114" s="325">
        <v>2905.6844</v>
      </c>
      <c r="E114" s="325">
        <v>2942.123</v>
      </c>
      <c r="F114" s="175">
        <v>1800</v>
      </c>
      <c r="G114" s="326">
        <f t="shared" si="2"/>
        <v>36.43859999999995</v>
      </c>
      <c r="H114" s="171"/>
      <c r="I114" s="175">
        <f>G114*F114</f>
        <v>65589.47999999991</v>
      </c>
      <c r="J114" s="160"/>
      <c r="K114" s="160"/>
      <c r="L114" s="160"/>
      <c r="M114" s="160"/>
      <c r="N114" s="160"/>
      <c r="O114" s="160"/>
      <c r="P114" s="160"/>
      <c r="Q114" s="160"/>
      <c r="R114" s="16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273" t="s">
        <v>362</v>
      </c>
      <c r="AU114" s="150"/>
      <c r="AV114" s="150"/>
      <c r="AW114" s="150"/>
      <c r="AX114" s="150"/>
      <c r="AY114" s="151"/>
      <c r="AZ114" s="235">
        <v>14183</v>
      </c>
      <c r="BA114" s="199"/>
      <c r="BB114" s="299">
        <f>AZ114*BB58</f>
        <v>50947.54794455082</v>
      </c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</row>
    <row r="115" spans="1:113" ht="12.75">
      <c r="A115" s="144"/>
      <c r="B115" s="144" t="s">
        <v>222</v>
      </c>
      <c r="C115" s="169"/>
      <c r="D115" s="228"/>
      <c r="E115" s="228"/>
      <c r="F115" s="164"/>
      <c r="G115" s="227"/>
      <c r="H115" s="169"/>
      <c r="I115" s="164"/>
      <c r="J115" s="160"/>
      <c r="K115" s="160"/>
      <c r="L115" s="160"/>
      <c r="M115" s="160"/>
      <c r="N115" s="160"/>
      <c r="O115" s="160"/>
      <c r="P115" s="160"/>
      <c r="Q115" s="160"/>
      <c r="R115" s="16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273" t="s">
        <v>297</v>
      </c>
      <c r="AU115" s="150"/>
      <c r="AV115" s="150"/>
      <c r="AW115" s="150"/>
      <c r="AX115" s="150"/>
      <c r="AY115" s="151"/>
      <c r="AZ115" s="235">
        <v>2720</v>
      </c>
      <c r="BA115" s="199"/>
      <c r="BB115" s="299">
        <f>AZ115*BB58</f>
        <v>9770.664204271185</v>
      </c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</row>
    <row r="116" spans="1:113" ht="12.75">
      <c r="A116" s="143" t="s">
        <v>225</v>
      </c>
      <c r="B116" s="143" t="s">
        <v>236</v>
      </c>
      <c r="C116" s="197">
        <v>623125667</v>
      </c>
      <c r="D116" s="325">
        <v>3287.976</v>
      </c>
      <c r="E116" s="325">
        <v>3337.1988</v>
      </c>
      <c r="F116" s="175">
        <v>1800</v>
      </c>
      <c r="G116" s="326">
        <f t="shared" si="2"/>
        <v>49.22280000000001</v>
      </c>
      <c r="H116" s="171"/>
      <c r="I116" s="175">
        <f>G116*F116</f>
        <v>88601.04000000001</v>
      </c>
      <c r="J116" s="160"/>
      <c r="K116" s="160"/>
      <c r="L116" s="160"/>
      <c r="M116" s="160"/>
      <c r="N116" s="160"/>
      <c r="O116" s="160"/>
      <c r="P116" s="160"/>
      <c r="Q116" s="160"/>
      <c r="R116" s="16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273" t="s">
        <v>6</v>
      </c>
      <c r="AU116" s="150"/>
      <c r="AV116" s="150"/>
      <c r="AW116" s="150"/>
      <c r="AX116" s="150"/>
      <c r="AY116" s="151"/>
      <c r="AZ116" s="235">
        <v>28000</v>
      </c>
      <c r="BA116" s="199"/>
      <c r="BB116" s="299">
        <f>AZ116*BB58</f>
        <v>100580.36680867396</v>
      </c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</row>
    <row r="117" spans="1:113" ht="12.75">
      <c r="A117" s="144"/>
      <c r="B117" s="144" t="s">
        <v>222</v>
      </c>
      <c r="C117" s="169"/>
      <c r="D117" s="228"/>
      <c r="E117" s="228"/>
      <c r="F117" s="164"/>
      <c r="G117" s="227"/>
      <c r="H117" s="169"/>
      <c r="I117" s="164"/>
      <c r="J117" s="160"/>
      <c r="K117" s="160"/>
      <c r="L117" s="160"/>
      <c r="M117" s="160"/>
      <c r="N117" s="160"/>
      <c r="O117" s="160"/>
      <c r="P117" s="160"/>
      <c r="Q117" s="160"/>
      <c r="R117" s="16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273" t="s">
        <v>21</v>
      </c>
      <c r="AU117" s="214"/>
      <c r="AV117" s="150"/>
      <c r="AW117" s="150"/>
      <c r="AX117" s="150"/>
      <c r="AY117" s="151"/>
      <c r="AZ117" s="235">
        <v>8000</v>
      </c>
      <c r="BA117" s="199"/>
      <c r="BB117" s="299">
        <f>AZ117*BB58</f>
        <v>28737.247659621135</v>
      </c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</row>
    <row r="118" spans="1:113" ht="12.75">
      <c r="A118" s="143" t="s">
        <v>226</v>
      </c>
      <c r="B118" s="143" t="s">
        <v>237</v>
      </c>
      <c r="C118" s="197">
        <v>623126370</v>
      </c>
      <c r="D118" s="325">
        <v>665.4768</v>
      </c>
      <c r="E118" s="325">
        <v>670.4645</v>
      </c>
      <c r="F118" s="175">
        <v>4800</v>
      </c>
      <c r="G118" s="326">
        <f t="shared" si="2"/>
        <v>4.987700000000018</v>
      </c>
      <c r="H118" s="171"/>
      <c r="I118" s="175">
        <f>G118*F118</f>
        <v>23940.960000000086</v>
      </c>
      <c r="J118" s="160"/>
      <c r="K118" s="160"/>
      <c r="L118" s="160"/>
      <c r="M118" s="160"/>
      <c r="N118" s="160"/>
      <c r="O118" s="160"/>
      <c r="P118" s="160"/>
      <c r="Q118" s="160"/>
      <c r="R118" s="16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273" t="s">
        <v>388</v>
      </c>
      <c r="AU118" s="214"/>
      <c r="AV118" s="150"/>
      <c r="AW118" s="150"/>
      <c r="AX118" s="150"/>
      <c r="AY118" s="151"/>
      <c r="AZ118" s="235">
        <v>50</v>
      </c>
      <c r="BA118" s="199"/>
      <c r="BB118" s="299">
        <f>AZ118*BB58</f>
        <v>179.6077978726321</v>
      </c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</row>
    <row r="119" spans="1:113" ht="12.75">
      <c r="A119" s="144"/>
      <c r="B119" s="144" t="s">
        <v>222</v>
      </c>
      <c r="C119" s="169"/>
      <c r="D119" s="228"/>
      <c r="E119" s="228"/>
      <c r="F119" s="164"/>
      <c r="G119" s="227"/>
      <c r="H119" s="169"/>
      <c r="I119" s="164"/>
      <c r="J119" s="160"/>
      <c r="K119" s="160"/>
      <c r="L119" s="160"/>
      <c r="M119" s="160"/>
      <c r="N119" s="160"/>
      <c r="O119" s="160"/>
      <c r="P119" s="160"/>
      <c r="Q119" s="160"/>
      <c r="R119" s="16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273" t="s">
        <v>365</v>
      </c>
      <c r="AU119" s="214"/>
      <c r="AV119" s="150"/>
      <c r="AW119" s="150"/>
      <c r="AX119" s="150"/>
      <c r="AY119" s="151"/>
      <c r="AZ119" s="235">
        <v>58280</v>
      </c>
      <c r="BA119" s="199"/>
      <c r="BB119" s="299">
        <f>AZ119*BB58</f>
        <v>209350.84920033996</v>
      </c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</row>
    <row r="120" spans="1:113" ht="12.75">
      <c r="A120" s="143" t="s">
        <v>227</v>
      </c>
      <c r="B120" s="143" t="s">
        <v>238</v>
      </c>
      <c r="C120" s="197">
        <v>623125137</v>
      </c>
      <c r="D120" s="325">
        <v>658.968</v>
      </c>
      <c r="E120" s="325">
        <v>671.1028</v>
      </c>
      <c r="F120" s="175">
        <v>4800</v>
      </c>
      <c r="G120" s="326">
        <f t="shared" si="2"/>
        <v>12.134800000000041</v>
      </c>
      <c r="H120" s="171"/>
      <c r="I120" s="175">
        <f>G120*F120</f>
        <v>58247.0400000002</v>
      </c>
      <c r="J120" s="160"/>
      <c r="K120" s="160"/>
      <c r="L120" s="160"/>
      <c r="M120" s="160"/>
      <c r="N120" s="160"/>
      <c r="O120" s="160"/>
      <c r="P120" s="160"/>
      <c r="Q120" s="160"/>
      <c r="R120" s="16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273"/>
      <c r="AU120" s="214"/>
      <c r="AV120" s="150"/>
      <c r="AW120" s="150"/>
      <c r="AX120" s="150"/>
      <c r="AY120" s="151"/>
      <c r="AZ120" s="235"/>
      <c r="BA120" s="199"/>
      <c r="BB120" s="299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</row>
    <row r="121" spans="1:113" ht="12.75">
      <c r="A121" s="144"/>
      <c r="B121" s="144" t="s">
        <v>222</v>
      </c>
      <c r="C121" s="169"/>
      <c r="D121" s="228"/>
      <c r="E121" s="228"/>
      <c r="F121" s="164"/>
      <c r="G121" s="227"/>
      <c r="H121" s="169"/>
      <c r="I121" s="164"/>
      <c r="J121" s="160"/>
      <c r="K121" s="160"/>
      <c r="L121" s="160"/>
      <c r="M121" s="160"/>
      <c r="N121" s="160"/>
      <c r="O121" s="160"/>
      <c r="P121" s="160"/>
      <c r="Q121" s="160"/>
      <c r="R121" s="16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02"/>
      <c r="AU121" s="150"/>
      <c r="AV121" s="150"/>
      <c r="AW121" s="150"/>
      <c r="AX121" s="150"/>
      <c r="AY121" s="151"/>
      <c r="AZ121" s="235"/>
      <c r="BA121" s="199"/>
      <c r="BB121" s="299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</row>
    <row r="122" spans="1:113" ht="12.75">
      <c r="A122" s="143" t="s">
        <v>228</v>
      </c>
      <c r="B122" s="143" t="s">
        <v>239</v>
      </c>
      <c r="C122" s="197">
        <v>623125142</v>
      </c>
      <c r="D122" s="325">
        <v>2312.2687</v>
      </c>
      <c r="E122" s="325">
        <v>2344.77</v>
      </c>
      <c r="F122" s="175">
        <v>2400</v>
      </c>
      <c r="G122" s="326">
        <f t="shared" si="2"/>
        <v>32.5012999999999</v>
      </c>
      <c r="H122" s="171"/>
      <c r="I122" s="175">
        <f>G122*F122</f>
        <v>78003.11999999976</v>
      </c>
      <c r="J122" s="160"/>
      <c r="K122" s="160"/>
      <c r="L122" s="160"/>
      <c r="M122" s="160"/>
      <c r="N122" s="160"/>
      <c r="O122" s="160"/>
      <c r="P122" s="160"/>
      <c r="Q122" s="160"/>
      <c r="R122" s="16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02"/>
      <c r="AU122" s="150"/>
      <c r="AV122" s="150"/>
      <c r="AW122" s="150"/>
      <c r="AX122" s="150"/>
      <c r="AY122" s="151"/>
      <c r="AZ122" s="235"/>
      <c r="BA122" s="199"/>
      <c r="BB122" s="299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</row>
    <row r="123" spans="1:113" ht="12.75">
      <c r="A123" s="144"/>
      <c r="B123" s="144" t="s">
        <v>222</v>
      </c>
      <c r="C123" s="169"/>
      <c r="D123" s="228"/>
      <c r="E123" s="228"/>
      <c r="F123" s="164"/>
      <c r="G123" s="227"/>
      <c r="H123" s="169"/>
      <c r="I123" s="164"/>
      <c r="J123" s="160"/>
      <c r="K123" s="160"/>
      <c r="L123" s="160"/>
      <c r="M123" s="160"/>
      <c r="N123" s="160"/>
      <c r="O123" s="160"/>
      <c r="P123" s="160"/>
      <c r="Q123" s="160"/>
      <c r="R123" s="16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02"/>
      <c r="AU123" s="150"/>
      <c r="AV123" s="150"/>
      <c r="AW123" s="150"/>
      <c r="AX123" s="150"/>
      <c r="AY123" s="151"/>
      <c r="AZ123" s="235"/>
      <c r="BA123" s="199"/>
      <c r="BB123" s="299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</row>
    <row r="124" spans="1:113" ht="12.75">
      <c r="A124" s="143" t="s">
        <v>229</v>
      </c>
      <c r="B124" s="143" t="s">
        <v>240</v>
      </c>
      <c r="C124" s="197">
        <v>623125205</v>
      </c>
      <c r="D124" s="325">
        <v>1682.2203</v>
      </c>
      <c r="E124" s="325">
        <v>1724.8008</v>
      </c>
      <c r="F124" s="175">
        <v>1800</v>
      </c>
      <c r="G124" s="326">
        <f t="shared" si="2"/>
        <v>42.58050000000003</v>
      </c>
      <c r="H124" s="171"/>
      <c r="I124" s="175">
        <f>G124*F124</f>
        <v>76644.90000000005</v>
      </c>
      <c r="J124" s="160"/>
      <c r="K124" s="160"/>
      <c r="L124" s="160"/>
      <c r="M124" s="160"/>
      <c r="N124" s="160"/>
      <c r="O124" s="160"/>
      <c r="P124" s="160"/>
      <c r="Q124" s="160"/>
      <c r="R124" s="16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02"/>
      <c r="AU124" s="150"/>
      <c r="AV124" s="150"/>
      <c r="AW124" s="150"/>
      <c r="AX124" s="150"/>
      <c r="AY124" s="151"/>
      <c r="AZ124" s="235"/>
      <c r="BA124" s="199"/>
      <c r="BB124" s="299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</row>
    <row r="125" spans="1:113" ht="12.75">
      <c r="A125" s="144"/>
      <c r="B125" s="144" t="s">
        <v>222</v>
      </c>
      <c r="C125" s="169"/>
      <c r="D125" s="228"/>
      <c r="E125" s="228"/>
      <c r="F125" s="164"/>
      <c r="G125" s="227"/>
      <c r="H125" s="169"/>
      <c r="I125" s="164"/>
      <c r="J125" s="160"/>
      <c r="K125" s="160"/>
      <c r="L125" s="160"/>
      <c r="M125" s="160"/>
      <c r="N125" s="160"/>
      <c r="O125" s="160"/>
      <c r="P125" s="160"/>
      <c r="Q125" s="160"/>
      <c r="R125" s="16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02"/>
      <c r="AU125" s="150"/>
      <c r="AV125" s="150"/>
      <c r="AW125" s="150"/>
      <c r="AX125" s="150"/>
      <c r="AY125" s="151"/>
      <c r="AZ125" s="235"/>
      <c r="BA125" s="199"/>
      <c r="BB125" s="299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</row>
    <row r="126" spans="1:113" ht="12.75">
      <c r="A126" s="143" t="s">
        <v>230</v>
      </c>
      <c r="B126" s="143" t="s">
        <v>241</v>
      </c>
      <c r="C126" s="197">
        <v>623123704</v>
      </c>
      <c r="D126" s="325">
        <v>2143.6575</v>
      </c>
      <c r="E126" s="325">
        <v>2186.485</v>
      </c>
      <c r="F126" s="175">
        <v>1800</v>
      </c>
      <c r="G126" s="326">
        <f t="shared" si="2"/>
        <v>42.82750000000033</v>
      </c>
      <c r="H126" s="171"/>
      <c r="I126" s="175">
        <f>G126*F126</f>
        <v>77089.50000000058</v>
      </c>
      <c r="J126" s="160"/>
      <c r="K126" s="160"/>
      <c r="L126" s="160"/>
      <c r="M126" s="160"/>
      <c r="N126" s="160"/>
      <c r="O126" s="160"/>
      <c r="P126" s="160"/>
      <c r="Q126" s="160"/>
      <c r="R126" s="16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02"/>
      <c r="AU126" s="150"/>
      <c r="AV126" s="219"/>
      <c r="AW126" s="219"/>
      <c r="AX126" s="150"/>
      <c r="AY126" s="151"/>
      <c r="AZ126" s="235"/>
      <c r="BA126" s="199"/>
      <c r="BB126" s="299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</row>
    <row r="127" spans="1:113" ht="13.5" customHeight="1">
      <c r="A127" s="144"/>
      <c r="B127" s="144" t="s">
        <v>222</v>
      </c>
      <c r="C127" s="169"/>
      <c r="D127" s="228"/>
      <c r="E127" s="228"/>
      <c r="F127" s="164"/>
      <c r="G127" s="227"/>
      <c r="H127" s="169"/>
      <c r="I127" s="164"/>
      <c r="J127" s="160"/>
      <c r="K127" s="160"/>
      <c r="L127" s="160"/>
      <c r="M127" s="160"/>
      <c r="N127" s="160"/>
      <c r="O127" s="160"/>
      <c r="P127" s="160"/>
      <c r="Q127" s="160"/>
      <c r="R127" s="16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60"/>
      <c r="AU127" s="120"/>
      <c r="AV127" s="120"/>
      <c r="AW127" s="120"/>
      <c r="AX127" s="120"/>
      <c r="AY127" s="120"/>
      <c r="AZ127" s="274"/>
      <c r="BA127" s="120"/>
      <c r="BB127" s="120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</row>
    <row r="128" spans="1:113" ht="13.5" customHeight="1">
      <c r="A128" s="143" t="s">
        <v>231</v>
      </c>
      <c r="B128" s="143" t="s">
        <v>242</v>
      </c>
      <c r="C128" s="197">
        <v>623125794</v>
      </c>
      <c r="D128" s="325">
        <v>62.1102</v>
      </c>
      <c r="E128" s="325">
        <v>64.2493</v>
      </c>
      <c r="F128" s="175">
        <v>1800</v>
      </c>
      <c r="G128" s="326">
        <f>E128-D128</f>
        <v>2.139100000000006</v>
      </c>
      <c r="H128" s="171"/>
      <c r="I128" s="175">
        <f>G128*F128</f>
        <v>3850.380000000011</v>
      </c>
      <c r="J128" s="160"/>
      <c r="K128" s="160"/>
      <c r="L128" s="160"/>
      <c r="M128" s="160"/>
      <c r="N128" s="160"/>
      <c r="O128" s="160"/>
      <c r="P128" s="160"/>
      <c r="Q128" s="160"/>
      <c r="R128" s="16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60"/>
      <c r="AU128" s="120"/>
      <c r="AV128" s="120"/>
      <c r="AW128" s="120"/>
      <c r="AX128" s="120"/>
      <c r="AY128" s="120"/>
      <c r="AZ128" s="274"/>
      <c r="BA128" s="120"/>
      <c r="BB128" s="120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</row>
    <row r="129" spans="1:113" ht="12.75">
      <c r="A129" s="144"/>
      <c r="B129" s="144" t="s">
        <v>222</v>
      </c>
      <c r="C129" s="169"/>
      <c r="D129" s="228"/>
      <c r="E129" s="228"/>
      <c r="F129" s="164"/>
      <c r="G129" s="227"/>
      <c r="H129" s="169"/>
      <c r="I129" s="164"/>
      <c r="J129" s="160"/>
      <c r="K129" s="160"/>
      <c r="L129" s="160"/>
      <c r="M129" s="160"/>
      <c r="N129" s="160"/>
      <c r="O129" s="160"/>
      <c r="P129" s="160"/>
      <c r="Q129" s="160"/>
      <c r="R129" s="16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60"/>
      <c r="AU129" s="120"/>
      <c r="AV129" s="120"/>
      <c r="AW129" s="120"/>
      <c r="AX129" s="120"/>
      <c r="AY129" s="120"/>
      <c r="AZ129" s="274"/>
      <c r="BA129" s="120"/>
      <c r="BB129" s="120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</row>
    <row r="130" spans="1:113" ht="12.75">
      <c r="A130" s="143" t="s">
        <v>232</v>
      </c>
      <c r="B130" s="143" t="s">
        <v>243</v>
      </c>
      <c r="C130" s="197">
        <v>623125736</v>
      </c>
      <c r="D130" s="325">
        <v>2754.9826</v>
      </c>
      <c r="E130" s="325">
        <v>2798.5119</v>
      </c>
      <c r="F130" s="175">
        <v>1200</v>
      </c>
      <c r="G130" s="326">
        <f t="shared" si="2"/>
        <v>43.52930000000015</v>
      </c>
      <c r="H130" s="171"/>
      <c r="I130" s="175">
        <f>G130*F130</f>
        <v>52235.16000000018</v>
      </c>
      <c r="J130" s="160"/>
      <c r="K130" s="160"/>
      <c r="L130" s="160"/>
      <c r="M130" s="160"/>
      <c r="N130" s="160"/>
      <c r="O130" s="160"/>
      <c r="P130" s="160"/>
      <c r="Q130" s="160"/>
      <c r="R130" s="16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60"/>
      <c r="AU130" s="120"/>
      <c r="AV130" s="120"/>
      <c r="AW130" s="120"/>
      <c r="AX130" s="120"/>
      <c r="AY130" s="120"/>
      <c r="AZ130" s="274"/>
      <c r="BA130" s="120"/>
      <c r="BB130" s="120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</row>
    <row r="131" spans="1:113" ht="12.75">
      <c r="A131" s="144"/>
      <c r="B131" s="144" t="s">
        <v>222</v>
      </c>
      <c r="C131" s="168"/>
      <c r="D131" s="228"/>
      <c r="E131" s="228"/>
      <c r="F131" s="164"/>
      <c r="G131" s="227"/>
      <c r="H131" s="169"/>
      <c r="I131" s="164"/>
      <c r="J131" s="160"/>
      <c r="K131" s="160"/>
      <c r="L131" s="160"/>
      <c r="M131" s="160"/>
      <c r="N131" s="160"/>
      <c r="O131" s="160"/>
      <c r="P131" s="160"/>
      <c r="Q131" s="160"/>
      <c r="R131" s="16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60"/>
      <c r="AU131" s="120" t="s">
        <v>9</v>
      </c>
      <c r="AV131" s="120"/>
      <c r="AW131" s="120"/>
      <c r="AX131" s="120"/>
      <c r="AY131" s="120"/>
      <c r="AZ131" s="301">
        <f>AZ9</f>
        <v>6455771</v>
      </c>
      <c r="BA131" s="120"/>
      <c r="BB131" s="275">
        <f>SUM(BB93:BB96)+BB103+BB109+SUM(BB112:BB126)</f>
        <v>23190136.257599995</v>
      </c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</row>
    <row r="132" spans="1:113" ht="12.75">
      <c r="A132" s="143" t="s">
        <v>233</v>
      </c>
      <c r="B132" s="145" t="s">
        <v>234</v>
      </c>
      <c r="C132" s="197">
        <v>1110171156</v>
      </c>
      <c r="D132" s="325">
        <v>981.4884</v>
      </c>
      <c r="E132" s="325">
        <v>1035.5456</v>
      </c>
      <c r="F132" s="175">
        <v>40</v>
      </c>
      <c r="G132" s="326">
        <f t="shared" si="2"/>
        <v>54.057199999999966</v>
      </c>
      <c r="H132" s="171"/>
      <c r="I132" s="175">
        <f>G132*F132</f>
        <v>2162.2879999999986</v>
      </c>
      <c r="J132" s="160"/>
      <c r="K132" s="160"/>
      <c r="L132" s="160"/>
      <c r="M132" s="160"/>
      <c r="N132" s="160"/>
      <c r="O132" s="160"/>
      <c r="P132" s="160"/>
      <c r="Q132" s="160"/>
      <c r="R132" s="16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60"/>
      <c r="AU132" s="120"/>
      <c r="AV132" s="120"/>
      <c r="AW132" s="120"/>
      <c r="AX132" s="120"/>
      <c r="AY132" s="120"/>
      <c r="AZ132" s="274"/>
      <c r="BA132" s="120"/>
      <c r="BB132" s="120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</row>
    <row r="133" spans="1:113" ht="12.75">
      <c r="A133" s="144"/>
      <c r="B133" s="103" t="s">
        <v>222</v>
      </c>
      <c r="C133" s="169"/>
      <c r="D133" s="379"/>
      <c r="E133" s="228"/>
      <c r="F133" s="164"/>
      <c r="G133" s="229"/>
      <c r="H133" s="169"/>
      <c r="I133" s="164"/>
      <c r="J133" s="160"/>
      <c r="K133" s="160"/>
      <c r="L133" s="160"/>
      <c r="M133" s="160"/>
      <c r="N133" s="160"/>
      <c r="O133" s="160"/>
      <c r="P133" s="160"/>
      <c r="Q133" s="160"/>
      <c r="R133" s="16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60"/>
      <c r="AU133" s="120"/>
      <c r="AV133" s="120"/>
      <c r="AW133" s="120"/>
      <c r="AX133" s="120"/>
      <c r="AY133" s="120"/>
      <c r="AZ133" s="120"/>
      <c r="BA133" s="120"/>
      <c r="BB133" s="120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</row>
    <row r="134" spans="1:113" ht="12.75">
      <c r="A134" s="201"/>
      <c r="B134" s="150"/>
      <c r="C134" s="191"/>
      <c r="D134" s="199"/>
      <c r="E134" s="200"/>
      <c r="F134" s="200"/>
      <c r="G134" s="215" t="s">
        <v>244</v>
      </c>
      <c r="H134" s="151"/>
      <c r="I134" s="235">
        <f>SUM(I112:I133)+I107</f>
        <v>1689736.8679999958</v>
      </c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60" t="s">
        <v>567</v>
      </c>
      <c r="AU134" s="120"/>
      <c r="AV134" s="120"/>
      <c r="AW134" s="120"/>
      <c r="AX134" s="120"/>
      <c r="AY134" s="120"/>
      <c r="AZ134" s="120"/>
      <c r="BA134" s="120"/>
      <c r="BB134" s="120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</row>
    <row r="135" spans="1:113" ht="12.75">
      <c r="A135" s="143" t="s">
        <v>247</v>
      </c>
      <c r="B135" s="145" t="s">
        <v>245</v>
      </c>
      <c r="C135" s="202"/>
      <c r="D135" s="202"/>
      <c r="E135" s="203"/>
      <c r="F135" s="203"/>
      <c r="G135" s="204"/>
      <c r="H135" s="146"/>
      <c r="I135" s="205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60"/>
      <c r="AU135" s="120"/>
      <c r="AV135" s="120"/>
      <c r="AW135" s="120"/>
      <c r="AX135" s="120"/>
      <c r="AY135" s="120"/>
      <c r="AZ135" s="120"/>
      <c r="BA135" s="120"/>
      <c r="BB135" s="120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</row>
    <row r="136" spans="1:113" ht="12.75">
      <c r="A136" s="173"/>
      <c r="B136" s="159" t="s">
        <v>246</v>
      </c>
      <c r="C136" s="206"/>
      <c r="D136" s="191"/>
      <c r="E136" s="207"/>
      <c r="F136" s="207"/>
      <c r="G136" s="208"/>
      <c r="H136" s="148"/>
      <c r="I136" s="209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60" t="s">
        <v>143</v>
      </c>
      <c r="AU136" s="120"/>
      <c r="AV136" s="120"/>
      <c r="AW136" s="120"/>
      <c r="AX136" s="120"/>
      <c r="AY136" s="120"/>
      <c r="AZ136" s="120"/>
      <c r="BA136" s="120"/>
      <c r="BB136" s="120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</row>
    <row r="137" spans="1:113" ht="12.75">
      <c r="A137" s="145" t="s">
        <v>248</v>
      </c>
      <c r="B137" s="143" t="s">
        <v>489</v>
      </c>
      <c r="C137" s="304"/>
      <c r="D137" s="211"/>
      <c r="E137" s="211"/>
      <c r="F137" s="155"/>
      <c r="G137" s="212"/>
      <c r="H137" s="152"/>
      <c r="I137" s="155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60"/>
      <c r="AU137" s="120"/>
      <c r="AV137" s="120"/>
      <c r="AW137" s="120"/>
      <c r="AX137" s="120"/>
      <c r="AY137" s="120"/>
      <c r="AZ137" s="120"/>
      <c r="BA137" s="120"/>
      <c r="BB137" s="120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</row>
    <row r="138" spans="1:113" ht="12.75">
      <c r="A138" s="159"/>
      <c r="B138" s="173"/>
      <c r="C138" s="305">
        <v>611127627</v>
      </c>
      <c r="D138" s="302">
        <v>2285.3064</v>
      </c>
      <c r="E138" s="302">
        <v>2304.2184</v>
      </c>
      <c r="F138" s="155">
        <v>40</v>
      </c>
      <c r="G138" s="252">
        <f>E138-D138</f>
        <v>18.912000000000262</v>
      </c>
      <c r="H138" s="155"/>
      <c r="I138" s="155">
        <f>ROUND(F138*G138+H138,0)</f>
        <v>756</v>
      </c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60"/>
      <c r="AU138" s="120"/>
      <c r="AV138" s="120"/>
      <c r="AW138" s="120"/>
      <c r="AX138" s="120"/>
      <c r="AY138" s="120"/>
      <c r="AZ138" s="120"/>
      <c r="BA138" s="120"/>
      <c r="BB138" s="120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</row>
    <row r="139" spans="1:113" ht="12.75">
      <c r="A139" s="159"/>
      <c r="B139" s="144" t="s">
        <v>467</v>
      </c>
      <c r="C139" s="305"/>
      <c r="D139" s="306"/>
      <c r="E139" s="306"/>
      <c r="F139" s="155"/>
      <c r="G139" s="212"/>
      <c r="H139" s="155"/>
      <c r="I139" s="155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</row>
    <row r="140" spans="1:113" ht="12.75">
      <c r="A140" s="143" t="s">
        <v>251</v>
      </c>
      <c r="B140" s="161"/>
      <c r="C140" s="213">
        <v>810120245</v>
      </c>
      <c r="D140" s="302">
        <v>1280.3229</v>
      </c>
      <c r="E140" s="302">
        <v>1280.6858</v>
      </c>
      <c r="F140" s="155">
        <v>3600</v>
      </c>
      <c r="G140" s="252">
        <f aca="true" t="shared" si="3" ref="G140:G145">E140-D140</f>
        <v>0.3629000000000815</v>
      </c>
      <c r="H140" s="155"/>
      <c r="I140" s="155">
        <f aca="true" t="shared" si="4" ref="I140:I145">ROUND(F140*G140+H140,0)</f>
        <v>1306</v>
      </c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</row>
    <row r="141" spans="1:113" ht="12.75">
      <c r="A141" s="173"/>
      <c r="B141" s="161" t="s">
        <v>495</v>
      </c>
      <c r="C141" s="213"/>
      <c r="D141" s="302"/>
      <c r="E141" s="302"/>
      <c r="F141" s="155"/>
      <c r="G141" s="252"/>
      <c r="H141" s="96"/>
      <c r="I141" s="155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</row>
    <row r="142" spans="1:113" ht="12.75">
      <c r="A142" s="173"/>
      <c r="B142" s="161"/>
      <c r="C142" s="210">
        <v>4050284</v>
      </c>
      <c r="D142" s="230">
        <v>4132.5133</v>
      </c>
      <c r="E142" s="230">
        <v>4155.7527</v>
      </c>
      <c r="F142" s="155">
        <v>3600</v>
      </c>
      <c r="G142" s="253">
        <f t="shared" si="3"/>
        <v>23.239400000000387</v>
      </c>
      <c r="H142" s="96"/>
      <c r="I142" s="155">
        <f t="shared" si="4"/>
        <v>83662</v>
      </c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</row>
    <row r="143" spans="1:113" ht="12.75">
      <c r="A143" s="144"/>
      <c r="B143" s="149"/>
      <c r="C143" s="210"/>
      <c r="D143" s="230"/>
      <c r="E143" s="230"/>
      <c r="F143" s="155"/>
      <c r="G143" s="253"/>
      <c r="H143" s="96"/>
      <c r="I143" s="155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</row>
    <row r="144" spans="1:113" ht="12.75">
      <c r="A144" s="173" t="s">
        <v>252</v>
      </c>
      <c r="B144" s="143" t="s">
        <v>218</v>
      </c>
      <c r="C144" s="152"/>
      <c r="D144" s="211"/>
      <c r="E144" s="211"/>
      <c r="F144" s="155"/>
      <c r="G144" s="212"/>
      <c r="H144" s="96"/>
      <c r="I144" s="155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</row>
    <row r="145" spans="1:113" ht="12.75">
      <c r="A145" s="307"/>
      <c r="B145" s="173" t="s">
        <v>217</v>
      </c>
      <c r="C145" s="305">
        <v>611127492</v>
      </c>
      <c r="D145" s="302">
        <v>5568.2376</v>
      </c>
      <c r="E145" s="302">
        <v>5629.3252</v>
      </c>
      <c r="F145" s="155">
        <v>20</v>
      </c>
      <c r="G145" s="252">
        <f t="shared" si="3"/>
        <v>61.08759999999984</v>
      </c>
      <c r="H145" s="155"/>
      <c r="I145" s="155">
        <f t="shared" si="4"/>
        <v>1222</v>
      </c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</row>
    <row r="146" spans="1:113" ht="12.75">
      <c r="A146" s="145" t="s">
        <v>253</v>
      </c>
      <c r="B146" s="143" t="s">
        <v>490</v>
      </c>
      <c r="C146" s="309"/>
      <c r="D146" s="211"/>
      <c r="E146" s="211"/>
      <c r="F146" s="155"/>
      <c r="G146" s="212"/>
      <c r="H146" s="96"/>
      <c r="I146" s="155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</row>
    <row r="147" spans="1:113" ht="12.75">
      <c r="A147" s="308"/>
      <c r="B147" s="168" t="s">
        <v>546</v>
      </c>
      <c r="C147" s="305">
        <v>611127702</v>
      </c>
      <c r="D147" s="302">
        <v>6796.5944</v>
      </c>
      <c r="E147" s="302">
        <v>6815.9624</v>
      </c>
      <c r="F147" s="155">
        <v>60</v>
      </c>
      <c r="G147" s="252">
        <f>E147-D147</f>
        <v>19.368000000000393</v>
      </c>
      <c r="H147" s="96"/>
      <c r="I147" s="155">
        <f>ROUND(F147*G147+H147,0)</f>
        <v>1162</v>
      </c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</row>
    <row r="148" spans="1:113" ht="12.75">
      <c r="A148" s="159"/>
      <c r="B148" s="168" t="s">
        <v>547</v>
      </c>
      <c r="C148" s="305">
        <v>611127555</v>
      </c>
      <c r="D148" s="302">
        <v>1036.5104</v>
      </c>
      <c r="E148" s="302">
        <v>1147.7296</v>
      </c>
      <c r="F148" s="155">
        <v>60</v>
      </c>
      <c r="G148" s="252">
        <f>E148-D148</f>
        <v>111.2192</v>
      </c>
      <c r="H148" s="96"/>
      <c r="I148" s="155">
        <f>ROUND(F148*G148+H148,0)</f>
        <v>6673</v>
      </c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</row>
    <row r="149" spans="1:113" ht="12.75">
      <c r="A149" s="145" t="s">
        <v>258</v>
      </c>
      <c r="B149" s="143" t="s">
        <v>491</v>
      </c>
      <c r="C149" s="310"/>
      <c r="D149" s="232"/>
      <c r="E149" s="232"/>
      <c r="F149" s="155"/>
      <c r="G149" s="212"/>
      <c r="H149" s="96"/>
      <c r="I149" s="155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</row>
    <row r="150" spans="1:113" ht="12.75">
      <c r="A150" s="308"/>
      <c r="B150" s="173"/>
      <c r="C150" s="305">
        <v>1110171163</v>
      </c>
      <c r="D150" s="230">
        <v>187.3024</v>
      </c>
      <c r="E150" s="230">
        <v>247.6868</v>
      </c>
      <c r="F150" s="155">
        <v>60</v>
      </c>
      <c r="G150" s="252">
        <f>E150-D150</f>
        <v>60.3844</v>
      </c>
      <c r="H150" s="96"/>
      <c r="I150" s="155">
        <f>ROUND(F150*G150+H150,0)</f>
        <v>3623</v>
      </c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</row>
    <row r="151" spans="1:113" ht="12.75">
      <c r="A151" s="159"/>
      <c r="B151" s="173"/>
      <c r="C151" s="305"/>
      <c r="D151" s="211"/>
      <c r="E151" s="211"/>
      <c r="F151" s="155"/>
      <c r="G151" s="212"/>
      <c r="H151" s="96"/>
      <c r="I151" s="155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</row>
    <row r="152" spans="1:113" ht="12.75">
      <c r="A152" s="145" t="s">
        <v>260</v>
      </c>
      <c r="B152" s="143" t="s">
        <v>492</v>
      </c>
      <c r="C152" s="311"/>
      <c r="D152" s="232"/>
      <c r="E152" s="232"/>
      <c r="F152" s="155"/>
      <c r="G152" s="212"/>
      <c r="H152" s="96"/>
      <c r="I152" s="155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</row>
    <row r="153" spans="1:113" ht="12.75">
      <c r="A153" s="159"/>
      <c r="B153" s="173"/>
      <c r="C153" s="305">
        <v>1110171170</v>
      </c>
      <c r="D153" s="302">
        <v>150.7648</v>
      </c>
      <c r="E153" s="302">
        <v>154.5296</v>
      </c>
      <c r="F153" s="155">
        <v>40</v>
      </c>
      <c r="G153" s="252">
        <f>E153-D153</f>
        <v>3.7647999999999797</v>
      </c>
      <c r="H153" s="155"/>
      <c r="I153" s="155">
        <f>ROUND(F153*G153+H153,0)</f>
        <v>151</v>
      </c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</row>
    <row r="154" spans="1:113" ht="12.75">
      <c r="A154" s="159"/>
      <c r="B154" s="173"/>
      <c r="C154" s="305"/>
      <c r="D154" s="306"/>
      <c r="E154" s="306"/>
      <c r="F154" s="155"/>
      <c r="G154" s="212"/>
      <c r="H154" s="155"/>
      <c r="I154" s="155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</row>
    <row r="155" spans="1:113" ht="12.75">
      <c r="A155" s="143" t="s">
        <v>261</v>
      </c>
      <c r="B155" s="147" t="s">
        <v>541</v>
      </c>
      <c r="C155" s="305">
        <v>611126342</v>
      </c>
      <c r="D155" s="302">
        <v>6059.7548</v>
      </c>
      <c r="E155" s="302">
        <v>6059.7548</v>
      </c>
      <c r="F155" s="155">
        <v>1800</v>
      </c>
      <c r="G155" s="252">
        <f>E155-D155</f>
        <v>0</v>
      </c>
      <c r="H155" s="155"/>
      <c r="I155" s="155">
        <f>ROUND(F155*G155+H155,0)</f>
        <v>0</v>
      </c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</row>
    <row r="156" spans="1:113" ht="12.75">
      <c r="A156" s="173"/>
      <c r="B156" s="161" t="s">
        <v>469</v>
      </c>
      <c r="C156" s="305">
        <v>611126404</v>
      </c>
      <c r="D156" s="302">
        <v>800.1342</v>
      </c>
      <c r="E156" s="302">
        <v>813.7098</v>
      </c>
      <c r="F156" s="155">
        <v>1800</v>
      </c>
      <c r="G156" s="252">
        <f>E156-D156</f>
        <v>13.575600000000009</v>
      </c>
      <c r="H156" s="155"/>
      <c r="I156" s="155">
        <f>ROUND(F156*G156+H156,0)</f>
        <v>24436</v>
      </c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</row>
    <row r="157" spans="1:113" ht="12.75">
      <c r="A157" s="144"/>
      <c r="B157" s="149" t="s">
        <v>509</v>
      </c>
      <c r="C157" s="305">
        <v>611126334</v>
      </c>
      <c r="D157" s="302">
        <v>0.1356</v>
      </c>
      <c r="E157" s="302">
        <v>0.1356</v>
      </c>
      <c r="F157" s="155">
        <v>1800</v>
      </c>
      <c r="G157" s="252">
        <f>E157-D157</f>
        <v>0</v>
      </c>
      <c r="H157" s="96"/>
      <c r="I157" s="155">
        <f>ROUND(F157*G157+H157,0)</f>
        <v>0</v>
      </c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</row>
    <row r="158" spans="1:113" ht="12.75">
      <c r="A158" s="159" t="s">
        <v>477</v>
      </c>
      <c r="B158" s="143" t="s">
        <v>493</v>
      </c>
      <c r="C158" s="305">
        <v>611127724</v>
      </c>
      <c r="D158" s="302">
        <v>597.0876</v>
      </c>
      <c r="E158" s="302">
        <v>609.0524</v>
      </c>
      <c r="F158" s="155">
        <v>30</v>
      </c>
      <c r="G158" s="252">
        <f>E158-D158</f>
        <v>11.964800000000082</v>
      </c>
      <c r="H158" s="155"/>
      <c r="I158" s="155">
        <f>ROUND(F158*G158+H158,0)</f>
        <v>359</v>
      </c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</row>
    <row r="159" spans="1:113" ht="12.75">
      <c r="A159" s="103"/>
      <c r="B159" s="173" t="s">
        <v>540</v>
      </c>
      <c r="C159" s="305"/>
      <c r="D159" s="306"/>
      <c r="E159" s="306"/>
      <c r="F159" s="155"/>
      <c r="G159" s="212"/>
      <c r="H159" s="155"/>
      <c r="I159" s="155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</row>
    <row r="160" spans="1:113" ht="12.75">
      <c r="A160" s="96"/>
      <c r="B160" s="312"/>
      <c r="C160" s="171"/>
      <c r="D160" s="306"/>
      <c r="E160" s="306"/>
      <c r="F160" s="155"/>
      <c r="G160" s="212"/>
      <c r="H160" s="155"/>
      <c r="I160" s="155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</row>
    <row r="161" spans="1:113" ht="12.75">
      <c r="A161" s="103"/>
      <c r="B161" s="148"/>
      <c r="C161" s="150"/>
      <c r="D161" s="150"/>
      <c r="E161" s="150"/>
      <c r="F161" s="150" t="s">
        <v>264</v>
      </c>
      <c r="G161" s="150"/>
      <c r="H161" s="151"/>
      <c r="I161" s="235">
        <f>SUM(I137:I159)-I160</f>
        <v>123350</v>
      </c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</row>
    <row r="162" spans="1:113" ht="12.75">
      <c r="A162" s="102"/>
      <c r="B162" s="150"/>
      <c r="C162" s="150"/>
      <c r="D162" s="150"/>
      <c r="E162" s="150"/>
      <c r="F162" s="150"/>
      <c r="G162" s="150" t="s">
        <v>265</v>
      </c>
      <c r="H162" s="151"/>
      <c r="I162" s="235">
        <f>I103+I104+I107+I108+I109+I110-I134-I161</f>
        <v>3304840.531999994</v>
      </c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</row>
    <row r="163" spans="1:113" ht="12.75">
      <c r="A163" s="96" t="s">
        <v>272</v>
      </c>
      <c r="B163" s="102" t="s">
        <v>266</v>
      </c>
      <c r="C163" s="150"/>
      <c r="D163" s="150"/>
      <c r="E163" s="150"/>
      <c r="F163" s="150"/>
      <c r="G163" s="150"/>
      <c r="H163" s="150"/>
      <c r="I163" s="151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</row>
    <row r="164" spans="1:113" ht="12.75">
      <c r="A164" s="143" t="s">
        <v>270</v>
      </c>
      <c r="B164" s="143" t="s">
        <v>267</v>
      </c>
      <c r="C164" s="171">
        <v>18705639</v>
      </c>
      <c r="D164" s="321">
        <v>38</v>
      </c>
      <c r="E164" s="321">
        <v>38</v>
      </c>
      <c r="F164" s="175">
        <v>30</v>
      </c>
      <c r="G164" s="322">
        <f>E164-D164</f>
        <v>0</v>
      </c>
      <c r="H164" s="143"/>
      <c r="I164" s="175">
        <f>F164*G164+H164</f>
        <v>0</v>
      </c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</row>
    <row r="165" spans="1:113" ht="12.75">
      <c r="A165" s="144"/>
      <c r="B165" s="144" t="s">
        <v>268</v>
      </c>
      <c r="C165" s="169"/>
      <c r="D165" s="144"/>
      <c r="E165" s="144"/>
      <c r="F165" s="164"/>
      <c r="G165" s="144"/>
      <c r="H165" s="144"/>
      <c r="I165" s="144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</row>
    <row r="166" spans="1:113" ht="12.75">
      <c r="A166" s="143" t="s">
        <v>271</v>
      </c>
      <c r="B166" s="143" t="s">
        <v>269</v>
      </c>
      <c r="C166" s="171">
        <v>18705843</v>
      </c>
      <c r="D166" s="321">
        <v>204.4</v>
      </c>
      <c r="E166" s="321">
        <v>204.4</v>
      </c>
      <c r="F166" s="175">
        <v>30</v>
      </c>
      <c r="G166" s="233">
        <f>E166-D166</f>
        <v>0</v>
      </c>
      <c r="H166" s="143"/>
      <c r="I166" s="175">
        <f>F166*G166+H166</f>
        <v>0</v>
      </c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</row>
    <row r="167" spans="1:113" ht="12.75">
      <c r="A167" s="144"/>
      <c r="B167" s="144" t="s">
        <v>268</v>
      </c>
      <c r="C167" s="169"/>
      <c r="D167" s="144"/>
      <c r="E167" s="144"/>
      <c r="F167" s="164"/>
      <c r="G167" s="144"/>
      <c r="H167" s="144"/>
      <c r="I167" s="144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</row>
    <row r="168" spans="1:113" ht="12.75">
      <c r="A168" s="102"/>
      <c r="B168" s="150"/>
      <c r="C168" s="217"/>
      <c r="D168" s="199"/>
      <c r="E168" s="218"/>
      <c r="F168" s="218" t="s">
        <v>273</v>
      </c>
      <c r="G168" s="219"/>
      <c r="H168" s="151"/>
      <c r="I168" s="155">
        <f>I164+I166</f>
        <v>0</v>
      </c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</row>
    <row r="169" spans="1:113" ht="12.75">
      <c r="A169" s="102"/>
      <c r="B169" s="150"/>
      <c r="C169" s="217"/>
      <c r="D169" s="199"/>
      <c r="E169" s="218"/>
      <c r="F169" s="218"/>
      <c r="G169" s="219" t="s">
        <v>274</v>
      </c>
      <c r="H169" s="151"/>
      <c r="I169" s="235">
        <f>I162+I168</f>
        <v>3304840.531999994</v>
      </c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</row>
    <row r="170" spans="1:113" ht="12.75">
      <c r="A170" s="145" t="s">
        <v>275</v>
      </c>
      <c r="B170" s="146"/>
      <c r="C170" s="220"/>
      <c r="D170" s="202"/>
      <c r="E170" s="221"/>
      <c r="F170" s="221"/>
      <c r="G170" s="204"/>
      <c r="H170" s="146"/>
      <c r="I170" s="205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</row>
    <row r="171" spans="1:113" ht="12.75">
      <c r="A171" s="222" t="s">
        <v>538</v>
      </c>
      <c r="B171" s="223"/>
      <c r="C171" s="223"/>
      <c r="D171" s="191"/>
      <c r="E171" s="148"/>
      <c r="F171" s="148"/>
      <c r="G171" s="148"/>
      <c r="H171" s="148"/>
      <c r="I171" s="209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</row>
    <row r="172" spans="1:113" ht="12.75">
      <c r="A172" s="160" t="s">
        <v>279</v>
      </c>
      <c r="B172" s="160"/>
      <c r="C172" s="264"/>
      <c r="D172" s="181"/>
      <c r="E172" s="265"/>
      <c r="F172" s="265"/>
      <c r="G172" s="188"/>
      <c r="H172" s="160"/>
      <c r="I172" s="19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</row>
    <row r="173" spans="1:113" ht="12.75">
      <c r="A173" s="160"/>
      <c r="B173" s="160"/>
      <c r="C173" s="181"/>
      <c r="D173" s="313" t="s">
        <v>280</v>
      </c>
      <c r="E173" s="313"/>
      <c r="F173" s="314"/>
      <c r="G173" s="243"/>
      <c r="H173" s="243"/>
      <c r="I173" s="189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</row>
    <row r="174" spans="1:113" ht="12.75">
      <c r="A174" s="160"/>
      <c r="B174" s="160"/>
      <c r="C174" s="181"/>
      <c r="D174" s="313" t="s">
        <v>531</v>
      </c>
      <c r="E174" s="313"/>
      <c r="F174" s="314"/>
      <c r="G174" s="243"/>
      <c r="H174" s="243"/>
      <c r="I174" s="189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</row>
    <row r="175" spans="1:113" ht="12.75">
      <c r="A175" s="160"/>
      <c r="B175" s="160"/>
      <c r="C175" s="264"/>
      <c r="D175" s="313" t="s">
        <v>539</v>
      </c>
      <c r="E175" s="313"/>
      <c r="F175" s="314"/>
      <c r="G175" s="243"/>
      <c r="H175" s="243"/>
      <c r="I175" s="189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</row>
    <row r="176" spans="1:113" ht="12.75">
      <c r="A176" s="160"/>
      <c r="B176" s="160"/>
      <c r="C176" s="160"/>
      <c r="D176" s="160"/>
      <c r="E176" s="160"/>
      <c r="F176" s="160"/>
      <c r="G176" s="160"/>
      <c r="H176" s="160"/>
      <c r="I176" s="16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</row>
    <row r="177" spans="1:113" ht="12.75">
      <c r="A177" s="160"/>
      <c r="B177" s="160"/>
      <c r="C177" s="160"/>
      <c r="D177" s="160"/>
      <c r="E177" s="160"/>
      <c r="F177" s="160"/>
      <c r="G177" s="160"/>
      <c r="H177" s="160"/>
      <c r="I177" s="16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 t="s">
        <v>519</v>
      </c>
      <c r="BA177" s="120"/>
      <c r="BB177" s="120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</row>
    <row r="178" spans="1:113" ht="12.75">
      <c r="A178" s="160"/>
      <c r="B178" s="160"/>
      <c r="C178" s="315"/>
      <c r="D178" s="316"/>
      <c r="E178" s="316"/>
      <c r="F178" s="180"/>
      <c r="G178" s="317"/>
      <c r="H178" s="160"/>
      <c r="I178" s="18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 t="s">
        <v>513</v>
      </c>
      <c r="BA178" s="120" t="s">
        <v>109</v>
      </c>
      <c r="BB178" s="120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</row>
    <row r="179" spans="1:113" ht="12.75">
      <c r="A179" s="243"/>
      <c r="B179" s="160"/>
      <c r="C179" s="315"/>
      <c r="D179" s="316"/>
      <c r="E179" s="316"/>
      <c r="F179" s="180"/>
      <c r="G179" s="317"/>
      <c r="H179" s="160"/>
      <c r="I179" s="18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 t="s">
        <v>510</v>
      </c>
      <c r="AZ179" s="301">
        <f>AZ183+AZ184+AZ185</f>
        <v>3017167</v>
      </c>
      <c r="BA179" s="370">
        <f>AZ179*2.9</f>
        <v>8749784.299999999</v>
      </c>
      <c r="BB179" s="120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</row>
    <row r="180" spans="1:113" ht="12.75">
      <c r="A180" s="160"/>
      <c r="B180" s="160"/>
      <c r="C180" s="160"/>
      <c r="D180" s="160"/>
      <c r="E180" s="160"/>
      <c r="F180" s="160"/>
      <c r="G180" s="160"/>
      <c r="H180" s="160"/>
      <c r="I180" s="16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 t="s">
        <v>511</v>
      </c>
      <c r="AZ180" s="301">
        <f>AZ187-AZ179-AZ181</f>
        <v>3274824</v>
      </c>
      <c r="BA180" s="370">
        <f>AZ180*2.9</f>
        <v>9496989.6</v>
      </c>
      <c r="BB180" s="120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</row>
    <row r="181" spans="1:113" ht="12.75">
      <c r="A181" s="160"/>
      <c r="B181" s="160"/>
      <c r="C181" s="160"/>
      <c r="D181" s="160"/>
      <c r="E181" s="160"/>
      <c r="F181" s="160"/>
      <c r="G181" s="160"/>
      <c r="H181" s="160"/>
      <c r="I181" s="16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 t="s">
        <v>512</v>
      </c>
      <c r="AZ181" s="301">
        <f>AZ186</f>
        <v>163780</v>
      </c>
      <c r="BA181" s="370">
        <f>AZ181*2.9</f>
        <v>474962</v>
      </c>
      <c r="BB181" s="120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</row>
    <row r="182" spans="52:113" ht="12.75">
      <c r="AZ182" s="368"/>
      <c r="BA182" s="368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</row>
    <row r="183" spans="51:113" ht="12.75">
      <c r="AY183" s="120" t="s">
        <v>514</v>
      </c>
      <c r="AZ183" s="369">
        <v>2742934</v>
      </c>
      <c r="BA183" s="368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</row>
    <row r="184" spans="51:113" ht="12.75">
      <c r="AY184" s="120" t="s">
        <v>515</v>
      </c>
      <c r="AZ184" s="369">
        <f>AZ95</f>
        <v>92380</v>
      </c>
      <c r="BA184" s="368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</row>
    <row r="185" spans="51:113" ht="12.75">
      <c r="AY185" s="120" t="s">
        <v>517</v>
      </c>
      <c r="AZ185" s="369">
        <v>181853</v>
      </c>
      <c r="BA185" s="368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</row>
    <row r="186" spans="51:113" ht="12.75">
      <c r="AY186" s="120" t="s">
        <v>518</v>
      </c>
      <c r="AZ186" s="369">
        <v>163780</v>
      </c>
      <c r="BA186" s="368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</row>
    <row r="187" spans="51:113" ht="12.75">
      <c r="AY187" s="120" t="s">
        <v>516</v>
      </c>
      <c r="AZ187" s="369">
        <f>AZ131</f>
        <v>6455771</v>
      </c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</row>
    <row r="188" spans="55:113" ht="12.75"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</row>
    <row r="189" spans="55:113" ht="12.75"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</row>
    <row r="190" spans="55:113" ht="12.75"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</row>
    <row r="191" spans="55:113" ht="12.75"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</row>
    <row r="192" spans="1:113" ht="12.75">
      <c r="A192" s="4"/>
      <c r="B192" s="4"/>
      <c r="C192" s="4"/>
      <c r="D192" s="4"/>
      <c r="E192" s="4"/>
      <c r="F192" s="4"/>
      <c r="G192" s="4"/>
      <c r="H192" s="4"/>
      <c r="I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</row>
    <row r="193" spans="1:113" ht="12.75">
      <c r="A193" s="4"/>
      <c r="B193" s="4"/>
      <c r="C193" s="4"/>
      <c r="D193" s="4"/>
      <c r="E193" s="4"/>
      <c r="F193" s="4"/>
      <c r="G193" s="4"/>
      <c r="H193" s="4"/>
      <c r="I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</row>
    <row r="194" spans="1:113" ht="12.75">
      <c r="A194" s="4"/>
      <c r="B194" s="4"/>
      <c r="C194" s="4"/>
      <c r="D194" s="4"/>
      <c r="E194" s="4"/>
      <c r="F194" s="4"/>
      <c r="G194" s="4"/>
      <c r="H194" s="4"/>
      <c r="I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</row>
    <row r="195" spans="1:113" ht="12.75">
      <c r="A195" s="4"/>
      <c r="B195" s="4"/>
      <c r="C195" s="4"/>
      <c r="D195" s="4"/>
      <c r="E195" s="4"/>
      <c r="F195" s="4"/>
      <c r="G195" s="4"/>
      <c r="H195" s="4"/>
      <c r="I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</row>
    <row r="196" spans="1:113" ht="12.75">
      <c r="A196" s="4"/>
      <c r="B196" s="4" t="s">
        <v>552</v>
      </c>
      <c r="C196" s="4"/>
      <c r="D196" s="380">
        <v>42252.65</v>
      </c>
      <c r="E196" s="380">
        <v>42275.12</v>
      </c>
      <c r="F196" s="380">
        <v>1800</v>
      </c>
      <c r="G196" s="380">
        <f>E196-D196</f>
        <v>22.470000000001164</v>
      </c>
      <c r="H196" s="380"/>
      <c r="I196" s="155">
        <f>ROUND(F196*G196+H196,0)</f>
        <v>40446</v>
      </c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</row>
    <row r="197" spans="1:113" ht="12.75">
      <c r="A197" s="4"/>
      <c r="B197" s="4"/>
      <c r="C197" s="4"/>
      <c r="D197" s="4"/>
      <c r="E197" s="4"/>
      <c r="F197" s="4"/>
      <c r="G197" s="4"/>
      <c r="H197" s="4"/>
      <c r="I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</row>
    <row r="198" spans="1:113" ht="12.75">
      <c r="A198" s="11"/>
      <c r="B198" s="11"/>
      <c r="C198" s="11"/>
      <c r="D198" s="11"/>
      <c r="E198" s="11"/>
      <c r="F198" s="11"/>
      <c r="G198" s="11"/>
      <c r="H198" s="11"/>
      <c r="I198" s="11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</row>
    <row r="199" spans="1:113" ht="12.75">
      <c r="A199" s="11"/>
      <c r="B199" s="11"/>
      <c r="C199" s="11"/>
      <c r="D199" s="11"/>
      <c r="E199" s="11"/>
      <c r="F199" s="11"/>
      <c r="G199" s="11"/>
      <c r="H199" s="11"/>
      <c r="I199" s="11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</row>
    <row r="200" spans="1:113" ht="12.75">
      <c r="A200" s="11"/>
      <c r="B200" s="11"/>
      <c r="C200" s="11"/>
      <c r="D200" s="11"/>
      <c r="E200" s="11"/>
      <c r="F200" s="11"/>
      <c r="G200" s="11"/>
      <c r="H200" s="11"/>
      <c r="I200" s="11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</row>
    <row r="201" spans="1:113" ht="12.75">
      <c r="A201" s="11"/>
      <c r="B201" s="11"/>
      <c r="C201" s="11"/>
      <c r="D201" s="11"/>
      <c r="E201" s="10"/>
      <c r="F201" s="10"/>
      <c r="G201" s="11"/>
      <c r="H201" s="11"/>
      <c r="I201" s="11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</row>
    <row r="202" spans="1:113" ht="12.75">
      <c r="A202" s="48"/>
      <c r="B202" s="48"/>
      <c r="C202" s="48"/>
      <c r="D202" s="48"/>
      <c r="E202" s="48"/>
      <c r="F202" s="48"/>
      <c r="G202" s="48"/>
      <c r="H202" s="48"/>
      <c r="I202" s="48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</row>
    <row r="203" spans="1:113" ht="12.75">
      <c r="A203" s="11"/>
      <c r="B203" s="11"/>
      <c r="C203" s="11"/>
      <c r="D203" s="11"/>
      <c r="E203" s="64"/>
      <c r="F203" s="64"/>
      <c r="G203" s="11"/>
      <c r="H203" s="11"/>
      <c r="I203" s="65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</row>
    <row r="204" spans="1:113" ht="12.75">
      <c r="A204" s="11"/>
      <c r="B204" s="11"/>
      <c r="C204" s="11"/>
      <c r="D204" s="66"/>
      <c r="E204" s="64"/>
      <c r="F204" s="11"/>
      <c r="G204" s="11"/>
      <c r="H204" s="11"/>
      <c r="I204" s="65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</row>
    <row r="205" spans="1:113" ht="12.75">
      <c r="A205" s="11"/>
      <c r="B205" s="11"/>
      <c r="C205" s="11"/>
      <c r="D205" s="11"/>
      <c r="E205" s="11"/>
      <c r="F205" s="11"/>
      <c r="G205" s="11"/>
      <c r="H205" s="11"/>
      <c r="I205" s="65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</row>
    <row r="206" spans="1:113" ht="12.75">
      <c r="A206" s="48"/>
      <c r="B206" s="11"/>
      <c r="C206" s="11"/>
      <c r="D206" s="11"/>
      <c r="E206" s="11"/>
      <c r="F206" s="11"/>
      <c r="G206" s="11"/>
      <c r="H206" s="11"/>
      <c r="I206" s="65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</row>
    <row r="207" spans="1:113" ht="12.75">
      <c r="A207" s="67"/>
      <c r="B207" s="67"/>
      <c r="C207" s="67"/>
      <c r="D207" s="67"/>
      <c r="E207" s="67"/>
      <c r="F207" s="67"/>
      <c r="G207" s="67"/>
      <c r="H207" s="67"/>
      <c r="I207" s="68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</row>
    <row r="208" spans="1:113" ht="12.75">
      <c r="A208" s="11"/>
      <c r="B208" s="11"/>
      <c r="C208" s="11"/>
      <c r="D208" s="11"/>
      <c r="E208" s="11"/>
      <c r="F208" s="11"/>
      <c r="G208" s="11"/>
      <c r="H208" s="11"/>
      <c r="I208" s="65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</row>
    <row r="209" spans="1:113" ht="12.75">
      <c r="A209" s="11"/>
      <c r="B209" s="11"/>
      <c r="C209" s="11"/>
      <c r="D209" s="11"/>
      <c r="E209" s="11"/>
      <c r="F209" s="11"/>
      <c r="G209" s="11"/>
      <c r="H209" s="11"/>
      <c r="I209" s="65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</row>
    <row r="210" spans="1:113" ht="12.75">
      <c r="A210" s="11"/>
      <c r="B210" s="11"/>
      <c r="C210" s="11"/>
      <c r="D210" s="11"/>
      <c r="E210" s="11"/>
      <c r="F210" s="11"/>
      <c r="G210" s="11"/>
      <c r="H210" s="11"/>
      <c r="I210" s="65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</row>
    <row r="211" spans="1:113" ht="12.75">
      <c r="A211" s="11"/>
      <c r="B211" s="11"/>
      <c r="C211" s="11"/>
      <c r="D211" s="11"/>
      <c r="E211" s="11"/>
      <c r="F211" s="11"/>
      <c r="G211" s="11"/>
      <c r="H211" s="11"/>
      <c r="I211" s="11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</row>
    <row r="212" spans="1:113" ht="12.75">
      <c r="A212" s="11"/>
      <c r="B212" s="11"/>
      <c r="C212" s="11"/>
      <c r="D212" s="11"/>
      <c r="E212" s="11"/>
      <c r="F212" s="11"/>
      <c r="G212" s="11"/>
      <c r="H212" s="11"/>
      <c r="I212" s="11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</row>
    <row r="213" spans="1:113" ht="13.5">
      <c r="A213" s="31"/>
      <c r="B213" s="48"/>
      <c r="C213" s="48"/>
      <c r="D213" s="48"/>
      <c r="E213" s="48"/>
      <c r="F213" s="48"/>
      <c r="G213" s="69"/>
      <c r="H213" s="48"/>
      <c r="I213" s="11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</row>
    <row r="214" spans="1:113" ht="12.75">
      <c r="A214" s="11"/>
      <c r="B214" s="11"/>
      <c r="C214" s="11"/>
      <c r="D214" s="11"/>
      <c r="E214" s="11"/>
      <c r="F214" s="11"/>
      <c r="G214" s="11"/>
      <c r="H214" s="11"/>
      <c r="I214" s="11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</row>
    <row r="215" spans="1:113" ht="12.75">
      <c r="A215" s="11"/>
      <c r="B215" s="11"/>
      <c r="C215" s="11"/>
      <c r="D215" s="11"/>
      <c r="E215" s="11"/>
      <c r="F215" s="11"/>
      <c r="G215" s="11"/>
      <c r="H215" s="11"/>
      <c r="I215" s="11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</row>
    <row r="216" spans="1:113" ht="12.75">
      <c r="A216" s="4"/>
      <c r="B216" s="4"/>
      <c r="C216" s="4"/>
      <c r="D216" s="4"/>
      <c r="E216" s="4"/>
      <c r="F216" s="4"/>
      <c r="G216" s="4"/>
      <c r="H216" s="4"/>
      <c r="I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</row>
    <row r="217" spans="1:113" ht="12.75">
      <c r="A217" s="4"/>
      <c r="B217" s="4"/>
      <c r="C217" s="4"/>
      <c r="D217" s="4"/>
      <c r="E217" s="4"/>
      <c r="F217" s="4"/>
      <c r="G217" s="4"/>
      <c r="H217" s="4"/>
      <c r="I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</row>
    <row r="218" spans="1:113" ht="12.75">
      <c r="A218" s="4"/>
      <c r="B218" s="3"/>
      <c r="C218" s="3"/>
      <c r="D218" s="3"/>
      <c r="E218" s="3"/>
      <c r="F218" s="3"/>
      <c r="G218" s="3"/>
      <c r="H218" s="3"/>
      <c r="I218" s="3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</row>
    <row r="219" spans="1:113" ht="12.75">
      <c r="A219" s="3"/>
      <c r="B219" s="3"/>
      <c r="C219" s="3"/>
      <c r="D219" s="3"/>
      <c r="E219" s="4"/>
      <c r="F219" s="3"/>
      <c r="G219" s="3"/>
      <c r="H219" s="3"/>
      <c r="I219" s="3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</row>
    <row r="220" spans="1:113" ht="12.75">
      <c r="A220" s="4"/>
      <c r="B220" s="4"/>
      <c r="C220" s="4"/>
      <c r="D220" s="4"/>
      <c r="E220" s="4"/>
      <c r="F220" s="4"/>
      <c r="G220" s="4"/>
      <c r="H220" s="4"/>
      <c r="I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</row>
    <row r="221" spans="1:113" ht="12.75">
      <c r="A221" s="4"/>
      <c r="B221" s="4"/>
      <c r="C221" s="4"/>
      <c r="D221" s="4"/>
      <c r="E221" s="4"/>
      <c r="F221" s="4"/>
      <c r="G221" s="4"/>
      <c r="H221" s="4"/>
      <c r="I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</row>
    <row r="222" spans="1:113" ht="12.75">
      <c r="A222" s="4"/>
      <c r="B222" s="4"/>
      <c r="C222" s="4"/>
      <c r="D222" s="4"/>
      <c r="E222" s="4"/>
      <c r="F222" s="4"/>
      <c r="G222" s="4"/>
      <c r="H222" s="4"/>
      <c r="I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</row>
    <row r="223" spans="1:113" ht="12.75">
      <c r="A223" s="4"/>
      <c r="B223" s="4"/>
      <c r="C223" s="4"/>
      <c r="D223" s="4"/>
      <c r="E223" s="4"/>
      <c r="F223" s="4"/>
      <c r="G223" s="4"/>
      <c r="H223" s="4"/>
      <c r="I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</row>
    <row r="224" spans="1:113" ht="12.75">
      <c r="A224" s="4"/>
      <c r="B224" s="4"/>
      <c r="C224" s="4"/>
      <c r="D224" s="4"/>
      <c r="E224" s="4"/>
      <c r="F224" s="4"/>
      <c r="G224" s="4"/>
      <c r="H224" s="4"/>
      <c r="I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</row>
    <row r="225" spans="1:113" ht="12.75">
      <c r="A225" s="4"/>
      <c r="B225" s="4"/>
      <c r="C225" s="4"/>
      <c r="D225" s="4"/>
      <c r="E225" s="4"/>
      <c r="F225" s="4"/>
      <c r="G225" s="4"/>
      <c r="H225" s="4"/>
      <c r="I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</row>
    <row r="226" spans="1:113" ht="12.75">
      <c r="A226" s="4"/>
      <c r="B226" s="4"/>
      <c r="C226" s="4"/>
      <c r="D226" s="4"/>
      <c r="E226" s="4"/>
      <c r="F226" s="4"/>
      <c r="G226" s="4"/>
      <c r="H226" s="4"/>
      <c r="I226" s="4"/>
      <c r="S226" s="4"/>
      <c r="T226" s="4"/>
      <c r="U226" s="4"/>
      <c r="V226" s="4"/>
      <c r="W226" s="4"/>
      <c r="X226" s="4"/>
      <c r="Y226" s="4"/>
      <c r="Z226" s="4"/>
      <c r="AA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</row>
    <row r="227" spans="1:113" ht="12.75">
      <c r="A227" s="4"/>
      <c r="B227" s="4"/>
      <c r="C227" s="4"/>
      <c r="D227" s="4"/>
      <c r="E227" s="4"/>
      <c r="F227" s="4"/>
      <c r="G227" s="4"/>
      <c r="H227" s="4"/>
      <c r="I227" s="4"/>
      <c r="S227" s="4"/>
      <c r="T227" s="4"/>
      <c r="U227" s="4"/>
      <c r="V227" s="4"/>
      <c r="W227" s="4"/>
      <c r="X227" s="4"/>
      <c r="Y227" s="4"/>
      <c r="Z227" s="4"/>
      <c r="AA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</row>
    <row r="228" spans="1:113" ht="12.75">
      <c r="A228" s="4"/>
      <c r="B228" s="4"/>
      <c r="C228" s="4"/>
      <c r="D228" s="4"/>
      <c r="E228" s="4"/>
      <c r="F228" s="4"/>
      <c r="G228" s="4"/>
      <c r="H228" s="4"/>
      <c r="I228" s="4"/>
      <c r="S228" s="4"/>
      <c r="T228" s="4"/>
      <c r="U228" s="4"/>
      <c r="V228" s="4"/>
      <c r="W228" s="4"/>
      <c r="X228" s="4"/>
      <c r="Y228" s="4"/>
      <c r="Z228" s="4"/>
      <c r="AA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</row>
    <row r="229" spans="1:113" ht="12.75">
      <c r="A229" s="4"/>
      <c r="B229" s="4"/>
      <c r="C229" s="4"/>
      <c r="D229" s="4"/>
      <c r="E229" s="4"/>
      <c r="F229" s="4"/>
      <c r="G229" s="4"/>
      <c r="H229" s="4"/>
      <c r="I229" s="4"/>
      <c r="S229" s="4"/>
      <c r="T229" s="4"/>
      <c r="U229" s="4"/>
      <c r="V229" s="4"/>
      <c r="W229" s="4"/>
      <c r="X229" s="4"/>
      <c r="Y229" s="4"/>
      <c r="Z229" s="4"/>
      <c r="AA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</row>
    <row r="230" spans="1:113" ht="12.75">
      <c r="A230" s="25"/>
      <c r="B230" s="4"/>
      <c r="C230" s="4"/>
      <c r="D230" s="4"/>
      <c r="E230" s="4"/>
      <c r="F230" s="4"/>
      <c r="G230" s="4"/>
      <c r="H230" s="4"/>
      <c r="I230" s="4"/>
      <c r="S230" s="4"/>
      <c r="T230" s="4"/>
      <c r="U230" s="4"/>
      <c r="V230" s="4"/>
      <c r="W230" s="4"/>
      <c r="X230" s="4"/>
      <c r="Y230" s="4"/>
      <c r="Z230" s="4"/>
      <c r="AA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</row>
    <row r="231" spans="1:113" ht="12.75">
      <c r="A231" s="4"/>
      <c r="B231" s="4"/>
      <c r="C231" s="4"/>
      <c r="D231" s="4"/>
      <c r="E231" s="4"/>
      <c r="F231" s="4"/>
      <c r="G231" s="4"/>
      <c r="H231" s="4"/>
      <c r="I231" s="4"/>
      <c r="S231" s="4"/>
      <c r="T231" s="4"/>
      <c r="U231" s="4"/>
      <c r="V231" s="4"/>
      <c r="W231" s="4"/>
      <c r="X231" s="4"/>
      <c r="Y231" s="4"/>
      <c r="Z231" s="4"/>
      <c r="AA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</row>
    <row r="232" spans="19:113" ht="12.75">
      <c r="S232" s="4"/>
      <c r="T232" s="4"/>
      <c r="U232" s="4"/>
      <c r="V232" s="4"/>
      <c r="W232" s="4"/>
      <c r="X232" s="4"/>
      <c r="Y232" s="4"/>
      <c r="Z232" s="4"/>
      <c r="AA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</row>
    <row r="233" spans="19:113" ht="12.75">
      <c r="S233" s="4"/>
      <c r="T233" s="4"/>
      <c r="U233" s="4"/>
      <c r="V233" s="4"/>
      <c r="W233" s="4"/>
      <c r="X233" s="4"/>
      <c r="Y233" s="4"/>
      <c r="Z233" s="4"/>
      <c r="AA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</row>
    <row r="234" spans="19:113" ht="12.75">
      <c r="S234" s="4"/>
      <c r="T234" s="4"/>
      <c r="U234" s="4"/>
      <c r="V234" s="4"/>
      <c r="W234" s="4"/>
      <c r="X234" s="4"/>
      <c r="Y234" s="4"/>
      <c r="Z234" s="4"/>
      <c r="AA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</row>
    <row r="235" spans="19:113" ht="12.75">
      <c r="S235" s="4"/>
      <c r="T235" s="4"/>
      <c r="U235" s="4"/>
      <c r="V235" s="4"/>
      <c r="W235" s="4"/>
      <c r="X235" s="4"/>
      <c r="Y235" s="4"/>
      <c r="Z235" s="4"/>
      <c r="AA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</row>
    <row r="236" spans="19:113" ht="12.75">
      <c r="S236" s="4"/>
      <c r="T236" s="4"/>
      <c r="U236" s="4"/>
      <c r="V236" s="4"/>
      <c r="W236" s="4"/>
      <c r="X236" s="4"/>
      <c r="Y236" s="4"/>
      <c r="Z236" s="4"/>
      <c r="AA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</row>
    <row r="237" spans="19:113" ht="12.75">
      <c r="S237" s="12"/>
      <c r="T237" s="23"/>
      <c r="U237" s="18"/>
      <c r="V237" s="18"/>
      <c r="W237" s="21"/>
      <c r="X237" s="22"/>
      <c r="Y237" s="18"/>
      <c r="Z237" s="12"/>
      <c r="AA237" s="13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</row>
    <row r="238" spans="19:113" ht="12.75">
      <c r="S238" s="16"/>
      <c r="T238" s="11"/>
      <c r="U238" s="19"/>
      <c r="V238" s="19"/>
      <c r="W238" s="18"/>
      <c r="X238" s="18"/>
      <c r="Y238" s="19"/>
      <c r="Z238" s="16"/>
      <c r="AA238" s="17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</row>
    <row r="239" spans="19:113" ht="12.75">
      <c r="S239" s="14"/>
      <c r="T239" s="9"/>
      <c r="U239" s="20"/>
      <c r="V239" s="20"/>
      <c r="W239" s="27"/>
      <c r="X239" s="27"/>
      <c r="Y239" s="20"/>
      <c r="Z239" s="14"/>
      <c r="AA239" s="15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</row>
    <row r="240" spans="19:113" ht="12.75">
      <c r="S240" s="32"/>
      <c r="T240" s="28"/>
      <c r="U240" s="28"/>
      <c r="V240" s="28"/>
      <c r="W240" s="28"/>
      <c r="X240" s="28"/>
      <c r="Y240" s="28"/>
      <c r="Z240" s="28"/>
      <c r="AA240" s="63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</row>
    <row r="241" spans="19:113" ht="12.75">
      <c r="S241" s="12"/>
      <c r="T241" s="23"/>
      <c r="U241" s="70"/>
      <c r="V241" s="22"/>
      <c r="W241" s="8"/>
      <c r="X241" s="8"/>
      <c r="Y241" s="61"/>
      <c r="Z241" s="1"/>
      <c r="AA241" s="35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</row>
    <row r="242" spans="19:113" ht="12.75">
      <c r="S242" s="16"/>
      <c r="T242" s="11"/>
      <c r="U242" s="71"/>
      <c r="V242" s="22"/>
      <c r="W242" s="8"/>
      <c r="X242" s="8"/>
      <c r="Y242" s="1"/>
      <c r="Z242" s="1"/>
      <c r="AA242" s="35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</row>
    <row r="243" spans="19:113" ht="12.75">
      <c r="S243" s="12"/>
      <c r="T243" s="23"/>
      <c r="U243" s="70"/>
      <c r="V243" s="22"/>
      <c r="W243" s="8"/>
      <c r="X243" s="8"/>
      <c r="Y243" s="1"/>
      <c r="Z243" s="1"/>
      <c r="AA243" s="35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</row>
    <row r="244" spans="19:113" ht="12.75">
      <c r="S244" s="16"/>
      <c r="T244" s="11"/>
      <c r="U244" s="71"/>
      <c r="V244" s="22"/>
      <c r="W244" s="8"/>
      <c r="X244" s="8"/>
      <c r="Y244" s="1"/>
      <c r="Z244" s="1"/>
      <c r="AA244" s="35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</row>
    <row r="245" spans="19:113" ht="12.75">
      <c r="S245" s="12"/>
      <c r="T245" s="23"/>
      <c r="U245" s="70"/>
      <c r="V245" s="22"/>
      <c r="W245" s="8"/>
      <c r="X245" s="8"/>
      <c r="Y245" s="1"/>
      <c r="Z245" s="1"/>
      <c r="AA245" s="35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</row>
    <row r="246" spans="19:113" ht="12.75">
      <c r="S246" s="16"/>
      <c r="T246" s="11"/>
      <c r="U246" s="71"/>
      <c r="V246" s="22"/>
      <c r="W246" s="1"/>
      <c r="X246" s="8"/>
      <c r="Y246" s="1"/>
      <c r="Z246" s="1"/>
      <c r="AA246" s="35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</row>
    <row r="247" spans="19:113" ht="12.75">
      <c r="S247" s="12"/>
      <c r="T247" s="23"/>
      <c r="U247" s="70"/>
      <c r="V247" s="22"/>
      <c r="W247" s="8"/>
      <c r="X247" s="8"/>
      <c r="Y247" s="1"/>
      <c r="Z247" s="1"/>
      <c r="AA247" s="35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</row>
    <row r="248" spans="19:113" ht="12.75">
      <c r="S248" s="16"/>
      <c r="T248" s="11"/>
      <c r="U248" s="71"/>
      <c r="V248" s="22"/>
      <c r="W248" s="8"/>
      <c r="X248" s="8"/>
      <c r="Y248" s="1"/>
      <c r="Z248" s="1"/>
      <c r="AA248" s="35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</row>
    <row r="249" spans="19:113" ht="12.75">
      <c r="S249" s="12"/>
      <c r="T249" s="23"/>
      <c r="U249" s="70"/>
      <c r="V249" s="22"/>
      <c r="W249" s="8"/>
      <c r="X249" s="8"/>
      <c r="Y249" s="1"/>
      <c r="Z249" s="1"/>
      <c r="AA249" s="35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</row>
    <row r="250" spans="19:113" ht="12.75">
      <c r="S250" s="14"/>
      <c r="T250" s="9"/>
      <c r="U250" s="71"/>
      <c r="V250" s="22"/>
      <c r="W250" s="8"/>
      <c r="X250" s="8"/>
      <c r="Y250" s="1"/>
      <c r="Z250" s="1"/>
      <c r="AA250" s="35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</row>
    <row r="251" spans="19:113" ht="12.75">
      <c r="S251" s="16"/>
      <c r="T251" s="11"/>
      <c r="U251" s="70"/>
      <c r="V251" s="22"/>
      <c r="W251" s="1"/>
      <c r="X251" s="8"/>
      <c r="Y251" s="1"/>
      <c r="Z251" s="1"/>
      <c r="AA251" s="35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</row>
    <row r="252" spans="19:113" ht="12.75">
      <c r="S252" s="14"/>
      <c r="T252" s="9"/>
      <c r="U252" s="71"/>
      <c r="V252" s="22"/>
      <c r="W252" s="1"/>
      <c r="X252" s="8"/>
      <c r="Y252" s="1"/>
      <c r="Z252" s="1"/>
      <c r="AA252" s="35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</row>
    <row r="253" spans="19:113" ht="12.75">
      <c r="S253" s="16"/>
      <c r="T253" s="11"/>
      <c r="U253" s="70"/>
      <c r="V253" s="22"/>
      <c r="W253" s="1"/>
      <c r="X253" s="8"/>
      <c r="Y253" s="1"/>
      <c r="Z253" s="1"/>
      <c r="AA253" s="35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</row>
    <row r="254" spans="19:113" ht="12.75">
      <c r="S254" s="14"/>
      <c r="T254" s="9"/>
      <c r="U254" s="71"/>
      <c r="V254" s="22"/>
      <c r="W254" s="1"/>
      <c r="X254" s="8"/>
      <c r="Y254" s="1"/>
      <c r="Z254" s="1"/>
      <c r="AA254" s="35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</row>
    <row r="255" spans="19:113" ht="12.75">
      <c r="S255" s="16"/>
      <c r="T255" s="11"/>
      <c r="U255" s="70"/>
      <c r="V255" s="22"/>
      <c r="W255" s="8"/>
      <c r="X255" s="8"/>
      <c r="Y255" s="1"/>
      <c r="Z255" s="1"/>
      <c r="AA255" s="35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</row>
    <row r="256" spans="19:113" ht="12.75">
      <c r="S256" s="14"/>
      <c r="T256" s="76"/>
      <c r="U256" s="72"/>
      <c r="V256" s="22"/>
      <c r="W256" s="8"/>
      <c r="X256" s="8"/>
      <c r="Y256" s="1"/>
      <c r="Z256" s="1"/>
      <c r="AA256" s="35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</row>
    <row r="257" spans="19:27" ht="12.75">
      <c r="S257" s="16"/>
      <c r="T257" s="17"/>
      <c r="U257" s="73"/>
      <c r="V257" s="1"/>
      <c r="W257" s="8"/>
      <c r="X257" s="8"/>
      <c r="Y257" s="1"/>
      <c r="Z257" s="1"/>
      <c r="AA257" s="35"/>
    </row>
    <row r="258" spans="19:27" ht="12.75">
      <c r="S258" s="14"/>
      <c r="T258" s="15"/>
      <c r="U258" s="74"/>
      <c r="V258" s="1"/>
      <c r="W258" s="8"/>
      <c r="X258" s="8"/>
      <c r="Y258" s="1"/>
      <c r="Z258" s="1"/>
      <c r="AA258" s="35"/>
    </row>
    <row r="259" spans="19:27" ht="12.75">
      <c r="S259" s="20"/>
      <c r="T259" s="20"/>
      <c r="U259" s="75"/>
      <c r="V259" s="1"/>
      <c r="W259" s="1"/>
      <c r="X259" s="1"/>
      <c r="Y259" s="1"/>
      <c r="Z259" s="1"/>
      <c r="AA259" s="35"/>
    </row>
    <row r="260" spans="19:27" ht="12.75">
      <c r="S260" s="1"/>
      <c r="T260" s="1"/>
      <c r="U260" s="75"/>
      <c r="V260" s="1"/>
      <c r="W260" s="8"/>
      <c r="X260" s="8"/>
      <c r="Y260" s="1"/>
      <c r="Z260" s="1"/>
      <c r="AA260" s="35"/>
    </row>
    <row r="261" spans="19:27" ht="12.75">
      <c r="S261" s="5"/>
      <c r="T261" s="1"/>
      <c r="U261" s="1"/>
      <c r="V261" s="1"/>
      <c r="W261" s="1"/>
      <c r="X261" s="1"/>
      <c r="Y261" s="1"/>
      <c r="Z261" s="1"/>
      <c r="AA261" s="40"/>
    </row>
    <row r="262" spans="19:27" ht="12.75">
      <c r="S262" s="5"/>
      <c r="T262" s="1"/>
      <c r="U262" s="1"/>
      <c r="V262" s="1"/>
      <c r="W262" s="1"/>
      <c r="X262" s="1"/>
      <c r="Y262" s="1"/>
      <c r="Z262" s="1"/>
      <c r="AA262" s="40"/>
    </row>
    <row r="263" spans="19:27" ht="12.75">
      <c r="S263" s="4"/>
      <c r="T263" s="4"/>
      <c r="U263" s="4"/>
      <c r="V263" s="4"/>
      <c r="W263" s="4"/>
      <c r="X263" s="4"/>
      <c r="Y263" s="4"/>
      <c r="Z263" s="4"/>
      <c r="AA263" s="4"/>
    </row>
    <row r="264" spans="19:27" ht="12.75">
      <c r="S264" s="4"/>
      <c r="T264" s="4"/>
      <c r="U264" s="4"/>
      <c r="V264" s="4"/>
      <c r="W264" s="4"/>
      <c r="X264" s="4"/>
      <c r="Y264" s="4"/>
      <c r="Z264" s="4"/>
      <c r="AA264" s="4"/>
    </row>
    <row r="265" spans="19:27" ht="12.75">
      <c r="S265" s="4"/>
      <c r="T265" s="4"/>
      <c r="U265" s="4"/>
      <c r="V265" s="4"/>
      <c r="W265" s="4"/>
      <c r="X265" s="4"/>
      <c r="Y265" s="4"/>
      <c r="Z265" s="4"/>
      <c r="AA265" s="4"/>
    </row>
    <row r="266" spans="19:27" ht="12.75">
      <c r="S266" s="4"/>
      <c r="T266" s="4"/>
      <c r="U266" s="4"/>
      <c r="V266" s="4"/>
      <c r="W266" s="4"/>
      <c r="X266" s="4"/>
      <c r="Y266" s="4"/>
      <c r="Z266" s="4"/>
      <c r="AA266" s="4"/>
    </row>
    <row r="267" spans="19:27" ht="12.75">
      <c r="S267" s="4"/>
      <c r="T267" s="4"/>
      <c r="U267" s="4"/>
      <c r="V267" s="4"/>
      <c r="W267" s="4"/>
      <c r="X267" s="4"/>
      <c r="Y267" s="4"/>
      <c r="Z267" s="4"/>
      <c r="AA267" s="4"/>
    </row>
    <row r="274" spans="19:27" ht="12.75">
      <c r="S274" s="4"/>
      <c r="T274" s="4"/>
      <c r="U274" s="4"/>
      <c r="V274" s="4"/>
      <c r="W274" s="4"/>
      <c r="X274" s="4"/>
      <c r="Y274" s="4"/>
      <c r="Z274" s="4"/>
      <c r="AA274" s="4"/>
    </row>
    <row r="275" spans="19:27" ht="12.75">
      <c r="S275" s="4"/>
      <c r="T275" s="4"/>
      <c r="U275" s="4"/>
      <c r="V275" s="4"/>
      <c r="W275" s="4"/>
      <c r="X275" s="4"/>
      <c r="Y275" s="4"/>
      <c r="Z275" s="4"/>
      <c r="AA275" s="4"/>
    </row>
    <row r="276" spans="19:27" ht="12.75">
      <c r="S276" s="4"/>
      <c r="T276" s="4"/>
      <c r="U276" s="4"/>
      <c r="V276" s="4"/>
      <c r="W276" s="4"/>
      <c r="X276" s="4"/>
      <c r="Y276" s="4"/>
      <c r="Z276" s="4"/>
      <c r="AA276" s="4"/>
    </row>
    <row r="277" spans="19:27" ht="12.75">
      <c r="S277" s="4"/>
      <c r="T277" s="4"/>
      <c r="U277" s="4"/>
      <c r="V277" s="4"/>
      <c r="W277" s="4"/>
      <c r="X277" s="4"/>
      <c r="Y277" s="4"/>
      <c r="Z277" s="4"/>
      <c r="AA277" s="4"/>
    </row>
    <row r="278" spans="19:27" ht="12.75">
      <c r="S278" s="4"/>
      <c r="T278" s="4"/>
      <c r="U278" s="4"/>
      <c r="V278" s="4"/>
      <c r="W278" s="4"/>
      <c r="X278" s="4"/>
      <c r="Y278" s="4"/>
      <c r="Z278" s="4"/>
      <c r="AA278" s="4"/>
    </row>
    <row r="279" spans="19:27" ht="12.75">
      <c r="S279" s="4"/>
      <c r="T279" s="4"/>
      <c r="U279" s="4"/>
      <c r="V279" s="4"/>
      <c r="W279" s="4"/>
      <c r="X279" s="4"/>
      <c r="Y279" s="4"/>
      <c r="Z279" s="4"/>
      <c r="AA279" s="4"/>
    </row>
  </sheetData>
  <sheetProtection/>
  <printOptions/>
  <pageMargins left="0.7874015748031497" right="0.1968503937007874" top="0.1968503937007874" bottom="0.1968503937007874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220"/>
  <sheetViews>
    <sheetView zoomScalePageLayoutView="0" workbookViewId="0" topLeftCell="A1">
      <selection activeCell="G191" sqref="G191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125" style="0" customWidth="1"/>
    <col min="4" max="5" width="11.00390625" style="0" customWidth="1"/>
    <col min="6" max="6" width="9.375" style="0" customWidth="1"/>
    <col min="7" max="7" width="9.25390625" style="0" customWidth="1"/>
    <col min="9" max="9" width="12.25390625" style="0" customWidth="1"/>
    <col min="10" max="10" width="6.75390625" style="0" customWidth="1"/>
    <col min="11" max="11" width="36.375" style="0" customWidth="1"/>
    <col min="12" max="12" width="16.125" style="0" customWidth="1"/>
    <col min="13" max="14" width="11.125" style="0" customWidth="1"/>
    <col min="15" max="15" width="9.625" style="0" customWidth="1"/>
    <col min="16" max="16" width="10.375" style="0" customWidth="1"/>
    <col min="17" max="17" width="10.125" style="0" customWidth="1"/>
    <col min="18" max="18" width="11.625" style="0" customWidth="1"/>
    <col min="19" max="19" width="6.375" style="0" customWidth="1"/>
    <col min="21" max="21" width="12.625" style="0" customWidth="1"/>
    <col min="22" max="22" width="24.875" style="0" customWidth="1"/>
    <col min="23" max="23" width="14.375" style="0" customWidth="1"/>
    <col min="24" max="24" width="13.625" style="0" customWidth="1"/>
    <col min="25" max="25" width="12.75390625" style="0" customWidth="1"/>
    <col min="26" max="27" width="13.00390625" style="0" customWidth="1"/>
    <col min="28" max="28" width="6.875" style="0" customWidth="1"/>
    <col min="31" max="31" width="29.00390625" style="0" customWidth="1"/>
    <col min="32" max="32" width="13.75390625" style="0" customWidth="1"/>
    <col min="33" max="33" width="12.25390625" style="0" customWidth="1"/>
    <col min="34" max="34" width="13.25390625" style="0" customWidth="1"/>
    <col min="35" max="35" width="13.75390625" style="0" customWidth="1"/>
    <col min="36" max="36" width="14.00390625" style="0" customWidth="1"/>
    <col min="37" max="37" width="6.75390625" style="0" customWidth="1"/>
    <col min="40" max="40" width="31.375" style="0" customWidth="1"/>
    <col min="41" max="41" width="15.125" style="0" customWidth="1"/>
    <col min="42" max="42" width="12.125" style="0" customWidth="1"/>
    <col min="43" max="43" width="12.875" style="0" customWidth="1"/>
    <col min="44" max="45" width="13.75390625" style="0" customWidth="1"/>
    <col min="51" max="51" width="33.75390625" style="0" customWidth="1"/>
    <col min="52" max="52" width="13.375" style="0" customWidth="1"/>
    <col min="53" max="53" width="13.875" style="0" customWidth="1"/>
    <col min="54" max="54" width="15.375" style="0" customWidth="1"/>
  </cols>
  <sheetData>
    <row r="1" spans="1:54" ht="12.7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60"/>
      <c r="T1" s="160"/>
      <c r="U1" s="160"/>
      <c r="V1" s="160"/>
      <c r="W1" s="160"/>
      <c r="X1" s="160"/>
      <c r="Y1" s="160"/>
      <c r="Z1" s="160"/>
      <c r="AA1" s="16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60"/>
      <c r="AU1" s="120"/>
      <c r="AV1" s="120"/>
      <c r="AW1" s="120"/>
      <c r="AX1" s="120"/>
      <c r="AY1" s="120"/>
      <c r="AZ1" s="120"/>
      <c r="BA1" s="120"/>
      <c r="BB1" s="120"/>
    </row>
    <row r="2" spans="1:54" ht="12.75">
      <c r="A2" s="120"/>
      <c r="B2" s="120"/>
      <c r="C2" s="120"/>
      <c r="D2" s="120" t="s">
        <v>192</v>
      </c>
      <c r="E2" s="120"/>
      <c r="F2" s="120"/>
      <c r="G2" s="120"/>
      <c r="H2" s="120"/>
      <c r="I2" s="120"/>
      <c r="J2" s="120"/>
      <c r="K2" s="120"/>
      <c r="L2" s="120"/>
      <c r="M2" s="120" t="s">
        <v>288</v>
      </c>
      <c r="N2" s="120"/>
      <c r="O2" s="120"/>
      <c r="P2" s="120"/>
      <c r="Q2" s="120"/>
      <c r="R2" s="120"/>
      <c r="S2" s="160"/>
      <c r="T2" s="160"/>
      <c r="U2" s="160"/>
      <c r="V2" s="160"/>
      <c r="W2" s="160"/>
      <c r="X2" s="160"/>
      <c r="Y2" s="160"/>
      <c r="Z2" s="160"/>
      <c r="AA2" s="160"/>
      <c r="AB2" s="120" t="s">
        <v>325</v>
      </c>
      <c r="AC2" s="120"/>
      <c r="AD2" s="120"/>
      <c r="AE2" s="120"/>
      <c r="AF2" s="120"/>
      <c r="AG2" s="120"/>
      <c r="AH2" s="120"/>
      <c r="AI2" s="120"/>
      <c r="AJ2" s="120"/>
      <c r="AK2" s="120" t="s">
        <v>325</v>
      </c>
      <c r="AL2" s="120"/>
      <c r="AM2" s="120"/>
      <c r="AN2" s="120"/>
      <c r="AO2" s="120"/>
      <c r="AP2" s="120"/>
      <c r="AQ2" s="120"/>
      <c r="AR2" s="120"/>
      <c r="AS2" s="120"/>
      <c r="AT2" s="160" t="s">
        <v>530</v>
      </c>
      <c r="AU2" s="120"/>
      <c r="AV2" s="120"/>
      <c r="AW2" s="120"/>
      <c r="AX2" s="120"/>
      <c r="AY2" s="120"/>
      <c r="AZ2" s="120"/>
      <c r="BA2" s="120"/>
      <c r="BB2" s="120"/>
    </row>
    <row r="3" spans="1:54" ht="12.75">
      <c r="A3" s="120"/>
      <c r="B3" s="120"/>
      <c r="C3" s="120"/>
      <c r="D3" s="120" t="s">
        <v>193</v>
      </c>
      <c r="E3" s="120"/>
      <c r="F3" s="120"/>
      <c r="G3" s="120"/>
      <c r="H3" s="120"/>
      <c r="I3" s="120"/>
      <c r="J3" s="120"/>
      <c r="K3" s="120"/>
      <c r="L3" s="120"/>
      <c r="M3" s="120" t="s">
        <v>289</v>
      </c>
      <c r="N3" s="120"/>
      <c r="O3" s="120"/>
      <c r="P3" s="120"/>
      <c r="Q3" s="120"/>
      <c r="R3" s="120"/>
      <c r="S3" s="120" t="s">
        <v>325</v>
      </c>
      <c r="T3" s="120"/>
      <c r="U3" s="120"/>
      <c r="V3" s="120"/>
      <c r="W3" s="120"/>
      <c r="X3" s="120"/>
      <c r="Y3" s="120"/>
      <c r="Z3" s="120"/>
      <c r="AA3" s="120"/>
      <c r="AB3" s="120" t="s">
        <v>324</v>
      </c>
      <c r="AC3" s="120"/>
      <c r="AD3" s="120"/>
      <c r="AE3" s="120"/>
      <c r="AF3" s="120"/>
      <c r="AG3" s="120"/>
      <c r="AH3" s="120"/>
      <c r="AI3" s="120"/>
      <c r="AJ3" s="120"/>
      <c r="AK3" s="120" t="s">
        <v>324</v>
      </c>
      <c r="AL3" s="120"/>
      <c r="AM3" s="120"/>
      <c r="AN3" s="120"/>
      <c r="AO3" s="120"/>
      <c r="AP3" s="120"/>
      <c r="AQ3" s="120"/>
      <c r="AR3" s="120"/>
      <c r="AS3" s="120"/>
      <c r="AT3" s="160" t="s">
        <v>532</v>
      </c>
      <c r="AU3" s="120"/>
      <c r="AV3" s="120"/>
      <c r="AW3" s="120"/>
      <c r="AX3" s="120"/>
      <c r="AY3" s="120"/>
      <c r="AZ3" s="120"/>
      <c r="BA3" s="120"/>
      <c r="BB3" s="120"/>
    </row>
    <row r="4" spans="1:54" ht="13.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 t="s">
        <v>324</v>
      </c>
      <c r="T4" s="120"/>
      <c r="U4" s="120"/>
      <c r="V4" s="120"/>
      <c r="W4" s="120"/>
      <c r="X4" s="120"/>
      <c r="Y4" s="120"/>
      <c r="Z4" s="120"/>
      <c r="AA4" s="120"/>
      <c r="AB4" s="120" t="s">
        <v>326</v>
      </c>
      <c r="AC4" s="120"/>
      <c r="AD4" s="120"/>
      <c r="AE4" s="120"/>
      <c r="AF4" s="120"/>
      <c r="AG4" s="120"/>
      <c r="AH4" s="120"/>
      <c r="AI4" s="120"/>
      <c r="AJ4" s="120"/>
      <c r="AK4" s="120" t="s">
        <v>326</v>
      </c>
      <c r="AL4" s="120"/>
      <c r="AM4" s="120"/>
      <c r="AN4" s="120"/>
      <c r="AO4" s="120"/>
      <c r="AP4" s="120"/>
      <c r="AQ4" s="120"/>
      <c r="AR4" s="120"/>
      <c r="AS4" s="120"/>
      <c r="AT4" s="160"/>
      <c r="AU4" s="120" t="s">
        <v>400</v>
      </c>
      <c r="AV4" s="120"/>
      <c r="AW4" s="120"/>
      <c r="AX4" s="120"/>
      <c r="AY4" s="254" t="s">
        <v>71</v>
      </c>
      <c r="AZ4" s="254" t="s">
        <v>555</v>
      </c>
      <c r="BA4" s="120"/>
      <c r="BB4" s="120"/>
    </row>
    <row r="5" spans="1:54" ht="12.75">
      <c r="A5" s="120"/>
      <c r="B5" s="120"/>
      <c r="C5" s="120" t="s">
        <v>194</v>
      </c>
      <c r="D5" s="120"/>
      <c r="E5" s="120"/>
      <c r="F5" s="120"/>
      <c r="G5" s="120"/>
      <c r="H5" s="120"/>
      <c r="I5" s="120"/>
      <c r="J5" s="120"/>
      <c r="K5" s="120"/>
      <c r="L5" s="120" t="s">
        <v>194</v>
      </c>
      <c r="M5" s="120"/>
      <c r="N5" s="120"/>
      <c r="O5" s="120"/>
      <c r="P5" s="120"/>
      <c r="Q5" s="120"/>
      <c r="R5" s="120"/>
      <c r="S5" s="120" t="s">
        <v>326</v>
      </c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45"/>
      <c r="AU5" s="146" t="s">
        <v>405</v>
      </c>
      <c r="AV5" s="146"/>
      <c r="AW5" s="146"/>
      <c r="AX5" s="146"/>
      <c r="AY5" s="146"/>
      <c r="AZ5" s="145" t="s">
        <v>406</v>
      </c>
      <c r="BA5" s="145" t="s">
        <v>407</v>
      </c>
      <c r="BB5" s="143" t="s">
        <v>364</v>
      </c>
    </row>
    <row r="6" spans="1:54" ht="12.75">
      <c r="A6" s="120"/>
      <c r="B6" s="120"/>
      <c r="C6" s="120"/>
      <c r="D6" s="277" t="s">
        <v>568</v>
      </c>
      <c r="E6" s="277"/>
      <c r="F6" s="120"/>
      <c r="G6" s="120"/>
      <c r="H6" s="120"/>
      <c r="I6" s="120"/>
      <c r="J6" s="120"/>
      <c r="K6" s="120"/>
      <c r="L6" s="120"/>
      <c r="M6" s="277" t="s">
        <v>568</v>
      </c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59"/>
      <c r="AU6" s="160"/>
      <c r="AV6" s="160"/>
      <c r="AW6" s="160"/>
      <c r="AX6" s="160"/>
      <c r="AY6" s="160"/>
      <c r="AZ6" s="159" t="s">
        <v>413</v>
      </c>
      <c r="BA6" s="159" t="s">
        <v>177</v>
      </c>
      <c r="BB6" s="173" t="s">
        <v>80</v>
      </c>
    </row>
    <row r="7" spans="1:54" ht="12.75">
      <c r="A7" s="120" t="s">
        <v>528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59"/>
      <c r="AU7" s="160"/>
      <c r="AV7" s="160"/>
      <c r="AW7" s="160"/>
      <c r="AX7" s="160"/>
      <c r="AY7" s="160"/>
      <c r="AZ7" s="103" t="s">
        <v>178</v>
      </c>
      <c r="BA7" s="103"/>
      <c r="BB7" s="144" t="s">
        <v>81</v>
      </c>
    </row>
    <row r="8" spans="1:54" ht="12.75">
      <c r="A8" s="120" t="s">
        <v>196</v>
      </c>
      <c r="B8" s="120"/>
      <c r="C8" s="120"/>
      <c r="D8" s="120"/>
      <c r="E8" s="120"/>
      <c r="F8" s="120"/>
      <c r="G8" s="120"/>
      <c r="H8" s="120"/>
      <c r="I8" s="120"/>
      <c r="J8" s="120" t="s">
        <v>528</v>
      </c>
      <c r="K8" s="120"/>
      <c r="L8" s="120"/>
      <c r="M8" s="120"/>
      <c r="N8" s="120"/>
      <c r="O8" s="120"/>
      <c r="P8" s="120"/>
      <c r="Q8" s="120"/>
      <c r="R8" s="120"/>
      <c r="S8" s="120" t="s">
        <v>357</v>
      </c>
      <c r="T8" s="120"/>
      <c r="U8" s="120"/>
      <c r="V8" s="120"/>
      <c r="W8" s="120"/>
      <c r="X8" s="120"/>
      <c r="Y8" s="120"/>
      <c r="Z8" s="120"/>
      <c r="AA8" s="120"/>
      <c r="AB8" s="120" t="s">
        <v>357</v>
      </c>
      <c r="AC8" s="120"/>
      <c r="AD8" s="120"/>
      <c r="AE8" s="120"/>
      <c r="AF8" s="120"/>
      <c r="AG8" s="120"/>
      <c r="AH8" s="120"/>
      <c r="AI8" s="120"/>
      <c r="AJ8" s="120"/>
      <c r="AK8" s="120" t="s">
        <v>357</v>
      </c>
      <c r="AL8" s="120"/>
      <c r="AM8" s="120"/>
      <c r="AN8" s="120"/>
      <c r="AO8" s="120"/>
      <c r="AP8" s="120"/>
      <c r="AQ8" s="120"/>
      <c r="AR8" s="120"/>
      <c r="AS8" s="120"/>
      <c r="AT8" s="145" t="s">
        <v>45</v>
      </c>
      <c r="AU8" s="146"/>
      <c r="AV8" s="146"/>
      <c r="AW8" s="146"/>
      <c r="AX8" s="146"/>
      <c r="AY8" s="147"/>
      <c r="AZ8" s="187">
        <f>I16+I17+I20+I22+I77</f>
        <v>11521725.200000005</v>
      </c>
      <c r="BA8" s="278"/>
      <c r="BB8" s="279">
        <f>BB9+BB14</f>
        <v>24240803.455008</v>
      </c>
    </row>
    <row r="9" spans="1:54" ht="12.75">
      <c r="A9" s="120" t="s">
        <v>198</v>
      </c>
      <c r="B9" s="120"/>
      <c r="C9" s="120"/>
      <c r="D9" s="120"/>
      <c r="E9" s="120"/>
      <c r="F9" s="120" t="s">
        <v>197</v>
      </c>
      <c r="G9" s="120"/>
      <c r="H9" s="120"/>
      <c r="I9" s="120"/>
      <c r="J9" s="120" t="s">
        <v>196</v>
      </c>
      <c r="K9" s="120"/>
      <c r="L9" s="120"/>
      <c r="M9" s="120"/>
      <c r="N9" s="120"/>
      <c r="O9" s="120" t="s">
        <v>197</v>
      </c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255" t="s">
        <v>383</v>
      </c>
      <c r="AU9" s="256"/>
      <c r="AV9" s="256"/>
      <c r="AW9" s="256"/>
      <c r="AX9" s="146"/>
      <c r="AY9" s="147"/>
      <c r="AZ9" s="280">
        <f>AZ11+AZ12</f>
        <v>6369457</v>
      </c>
      <c r="BA9" s="281">
        <f>(BB12+BB11)/AZ9</f>
        <v>3.8056866892436827</v>
      </c>
      <c r="BB9" s="279">
        <f>BB10+BB11+BB12+BB13</f>
        <v>24240157.72261</v>
      </c>
    </row>
    <row r="10" spans="1:54" ht="12.75">
      <c r="A10" s="143" t="s">
        <v>335</v>
      </c>
      <c r="B10" s="171" t="s">
        <v>199</v>
      </c>
      <c r="C10" s="143" t="s">
        <v>200</v>
      </c>
      <c r="D10" s="224" t="s">
        <v>286</v>
      </c>
      <c r="E10" s="225"/>
      <c r="F10" s="143" t="s">
        <v>201</v>
      </c>
      <c r="G10" s="143" t="s">
        <v>404</v>
      </c>
      <c r="H10" s="143" t="s">
        <v>202</v>
      </c>
      <c r="I10" s="143" t="s">
        <v>191</v>
      </c>
      <c r="J10" s="120" t="s">
        <v>198</v>
      </c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277" t="s">
        <v>569</v>
      </c>
      <c r="Z10" s="120"/>
      <c r="AA10" s="120"/>
      <c r="AB10" s="120"/>
      <c r="AC10" s="120"/>
      <c r="AD10" s="120"/>
      <c r="AE10" s="120"/>
      <c r="AF10" s="120"/>
      <c r="AG10" s="120"/>
      <c r="AH10" s="277" t="s">
        <v>569</v>
      </c>
      <c r="AI10" s="120"/>
      <c r="AJ10" s="120"/>
      <c r="AK10" s="120"/>
      <c r="AL10" s="120"/>
      <c r="AM10" s="120"/>
      <c r="AN10" s="120"/>
      <c r="AO10" s="120"/>
      <c r="AP10" s="120"/>
      <c r="AQ10" s="277" t="s">
        <v>569</v>
      </c>
      <c r="AR10" s="120"/>
      <c r="AS10" s="120"/>
      <c r="AT10" s="145" t="s">
        <v>179</v>
      </c>
      <c r="AU10" s="146"/>
      <c r="AV10" s="146"/>
      <c r="AW10" s="146"/>
      <c r="AX10" s="146"/>
      <c r="AY10" s="147"/>
      <c r="AZ10" s="282"/>
      <c r="BA10" s="283">
        <v>0</v>
      </c>
      <c r="BB10" s="284">
        <f>AZ10*BA10</f>
        <v>0</v>
      </c>
    </row>
    <row r="11" spans="1:54" ht="12.75">
      <c r="A11" s="173"/>
      <c r="B11" s="173"/>
      <c r="C11" s="173"/>
      <c r="D11" s="143" t="s">
        <v>203</v>
      </c>
      <c r="E11" s="145" t="s">
        <v>204</v>
      </c>
      <c r="F11" s="173" t="s">
        <v>205</v>
      </c>
      <c r="G11" s="173" t="s">
        <v>190</v>
      </c>
      <c r="H11" s="173"/>
      <c r="I11" s="173" t="s">
        <v>206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45" t="s">
        <v>180</v>
      </c>
      <c r="AU11" s="146"/>
      <c r="AV11" s="146"/>
      <c r="AW11" s="146"/>
      <c r="AX11" s="146"/>
      <c r="AY11" s="147"/>
      <c r="AZ11" s="155">
        <f>I81+I73</f>
        <v>6991</v>
      </c>
      <c r="BA11" s="285">
        <v>5.51365</v>
      </c>
      <c r="BB11" s="284">
        <f>AZ11*BA11</f>
        <v>38545.92715</v>
      </c>
    </row>
    <row r="12" spans="1:54" ht="12.75">
      <c r="A12" s="144"/>
      <c r="B12" s="144"/>
      <c r="C12" s="144"/>
      <c r="D12" s="144" t="s">
        <v>207</v>
      </c>
      <c r="E12" s="103" t="s">
        <v>207</v>
      </c>
      <c r="F12" s="144" t="s">
        <v>208</v>
      </c>
      <c r="G12" s="144"/>
      <c r="H12" s="144"/>
      <c r="I12" s="144"/>
      <c r="J12" s="143" t="s">
        <v>335</v>
      </c>
      <c r="K12" s="171" t="s">
        <v>199</v>
      </c>
      <c r="L12" s="143" t="s">
        <v>200</v>
      </c>
      <c r="M12" s="224" t="s">
        <v>464</v>
      </c>
      <c r="N12" s="225"/>
      <c r="O12" s="143" t="s">
        <v>201</v>
      </c>
      <c r="P12" s="143" t="s">
        <v>404</v>
      </c>
      <c r="Q12" s="143" t="s">
        <v>202</v>
      </c>
      <c r="R12" s="143" t="s">
        <v>191</v>
      </c>
      <c r="S12" s="143" t="s">
        <v>335</v>
      </c>
      <c r="T12" s="145" t="s">
        <v>336</v>
      </c>
      <c r="U12" s="146"/>
      <c r="V12" s="147"/>
      <c r="W12" s="102" t="s">
        <v>337</v>
      </c>
      <c r="X12" s="150"/>
      <c r="Y12" s="150"/>
      <c r="Z12" s="150"/>
      <c r="AA12" s="151"/>
      <c r="AB12" s="143" t="s">
        <v>335</v>
      </c>
      <c r="AC12" s="145" t="s">
        <v>336</v>
      </c>
      <c r="AD12" s="146"/>
      <c r="AE12" s="147"/>
      <c r="AF12" s="102" t="s">
        <v>337</v>
      </c>
      <c r="AG12" s="150"/>
      <c r="AH12" s="150"/>
      <c r="AI12" s="150"/>
      <c r="AJ12" s="151"/>
      <c r="AK12" s="143" t="s">
        <v>335</v>
      </c>
      <c r="AL12" s="145" t="s">
        <v>336</v>
      </c>
      <c r="AM12" s="146"/>
      <c r="AN12" s="147"/>
      <c r="AO12" s="102" t="s">
        <v>337</v>
      </c>
      <c r="AP12" s="150"/>
      <c r="AQ12" s="150"/>
      <c r="AR12" s="150"/>
      <c r="AS12" s="151"/>
      <c r="AT12" s="145" t="s">
        <v>181</v>
      </c>
      <c r="AU12" s="146"/>
      <c r="AV12" s="146"/>
      <c r="AW12" s="146"/>
      <c r="AX12" s="146"/>
      <c r="AY12" s="147"/>
      <c r="AZ12" s="280">
        <f>I75</f>
        <v>6362466</v>
      </c>
      <c r="BA12" s="286">
        <v>3.80381</v>
      </c>
      <c r="BB12" s="284">
        <f>AZ12*BA12</f>
        <v>24201611.79546</v>
      </c>
    </row>
    <row r="13" spans="1:54" ht="12.75">
      <c r="A13" s="152">
        <v>1</v>
      </c>
      <c r="B13" s="152">
        <v>2</v>
      </c>
      <c r="C13" s="152">
        <v>3</v>
      </c>
      <c r="D13" s="152">
        <v>4</v>
      </c>
      <c r="E13" s="152">
        <v>5</v>
      </c>
      <c r="F13" s="152">
        <v>6</v>
      </c>
      <c r="G13" s="152">
        <v>7</v>
      </c>
      <c r="H13" s="152">
        <v>8</v>
      </c>
      <c r="I13" s="152">
        <v>9</v>
      </c>
      <c r="J13" s="173"/>
      <c r="K13" s="173"/>
      <c r="L13" s="173"/>
      <c r="M13" s="143" t="s">
        <v>203</v>
      </c>
      <c r="N13" s="145" t="s">
        <v>204</v>
      </c>
      <c r="O13" s="173" t="s">
        <v>205</v>
      </c>
      <c r="P13" s="173" t="s">
        <v>190</v>
      </c>
      <c r="Q13" s="173"/>
      <c r="R13" s="173" t="s">
        <v>206</v>
      </c>
      <c r="S13" s="144"/>
      <c r="T13" s="103"/>
      <c r="U13" s="148"/>
      <c r="V13" s="149"/>
      <c r="W13" s="152" t="s">
        <v>338</v>
      </c>
      <c r="X13" s="152" t="s">
        <v>339</v>
      </c>
      <c r="Y13" s="152" t="s">
        <v>340</v>
      </c>
      <c r="Z13" s="152" t="s">
        <v>341</v>
      </c>
      <c r="AA13" s="152" t="s">
        <v>342</v>
      </c>
      <c r="AB13" s="144"/>
      <c r="AC13" s="103"/>
      <c r="AD13" s="148"/>
      <c r="AE13" s="149"/>
      <c r="AF13" s="152" t="s">
        <v>338</v>
      </c>
      <c r="AG13" s="152" t="s">
        <v>339</v>
      </c>
      <c r="AH13" s="152" t="s">
        <v>340</v>
      </c>
      <c r="AI13" s="152" t="s">
        <v>341</v>
      </c>
      <c r="AJ13" s="152" t="s">
        <v>342</v>
      </c>
      <c r="AK13" s="144"/>
      <c r="AL13" s="103"/>
      <c r="AM13" s="148"/>
      <c r="AN13" s="149"/>
      <c r="AO13" s="152" t="s">
        <v>338</v>
      </c>
      <c r="AP13" s="152" t="s">
        <v>339</v>
      </c>
      <c r="AQ13" s="152" t="s">
        <v>340</v>
      </c>
      <c r="AR13" s="152" t="s">
        <v>341</v>
      </c>
      <c r="AS13" s="152" t="s">
        <v>342</v>
      </c>
      <c r="AT13" s="102" t="s">
        <v>173</v>
      </c>
      <c r="AU13" s="150"/>
      <c r="AV13" s="150"/>
      <c r="AW13" s="150"/>
      <c r="AX13" s="150"/>
      <c r="AY13" s="151"/>
      <c r="AZ13" s="280"/>
      <c r="BA13" s="257"/>
      <c r="BB13" s="284">
        <f>BA13*AZ13</f>
        <v>0</v>
      </c>
    </row>
    <row r="14" spans="1:54" ht="12.75">
      <c r="A14" s="103"/>
      <c r="B14" s="148"/>
      <c r="C14" s="320" t="s">
        <v>209</v>
      </c>
      <c r="D14" s="320"/>
      <c r="E14" s="148"/>
      <c r="F14" s="148"/>
      <c r="G14" s="148"/>
      <c r="H14" s="148"/>
      <c r="I14" s="149"/>
      <c r="J14" s="144"/>
      <c r="K14" s="144"/>
      <c r="L14" s="144"/>
      <c r="M14" s="144" t="s">
        <v>207</v>
      </c>
      <c r="N14" s="103" t="s">
        <v>207</v>
      </c>
      <c r="O14" s="144" t="s">
        <v>208</v>
      </c>
      <c r="P14" s="144"/>
      <c r="Q14" s="144"/>
      <c r="R14" s="144"/>
      <c r="S14" s="152">
        <v>1</v>
      </c>
      <c r="T14" s="96" t="s">
        <v>159</v>
      </c>
      <c r="U14" s="96"/>
      <c r="V14" s="96"/>
      <c r="W14" s="155">
        <f aca="true" t="shared" si="0" ref="W14:W25">SUM(X14:AA14)</f>
        <v>4955042</v>
      </c>
      <c r="X14" s="155">
        <f>SUM(X15:X26)</f>
        <v>4248877</v>
      </c>
      <c r="Y14" s="155">
        <f>SUM(Y15:Y27)</f>
        <v>0</v>
      </c>
      <c r="Z14" s="155">
        <f>SUM(Z15:Z26)</f>
        <v>706165</v>
      </c>
      <c r="AA14" s="152">
        <f>SUM(AA15:AA27)</f>
        <v>0</v>
      </c>
      <c r="AB14" s="152"/>
      <c r="AC14" s="96" t="s">
        <v>136</v>
      </c>
      <c r="AD14" s="96"/>
      <c r="AE14" s="96"/>
      <c r="AF14" s="163">
        <f>SUM(AG14:AJ14)</f>
        <v>169758</v>
      </c>
      <c r="AG14" s="155">
        <f>SUM(AG16:AG22)</f>
        <v>160710</v>
      </c>
      <c r="AH14" s="155">
        <f>SUM(AH16:AH22)</f>
        <v>0</v>
      </c>
      <c r="AI14" s="155">
        <f>SUM(AI16:AI22)</f>
        <v>9048</v>
      </c>
      <c r="AJ14" s="152">
        <f>SUM(AJ16:AJ22)</f>
        <v>0</v>
      </c>
      <c r="AK14" s="171">
        <v>1</v>
      </c>
      <c r="AL14" s="143" t="s">
        <v>136</v>
      </c>
      <c r="AM14" s="143"/>
      <c r="AN14" s="143"/>
      <c r="AO14" s="175">
        <f>SUM(AP14:AS14)</f>
        <v>34822</v>
      </c>
      <c r="AP14" s="175">
        <f>SUM(AP16:AP17)</f>
        <v>0</v>
      </c>
      <c r="AQ14" s="175">
        <f>SUM(AQ16:AQ17)</f>
        <v>0</v>
      </c>
      <c r="AR14" s="175">
        <f>ROUND(SUM(AR16:AR20),0)</f>
        <v>34822</v>
      </c>
      <c r="AS14" s="171">
        <f>SUM(AS16:AS17)</f>
        <v>0</v>
      </c>
      <c r="AT14" s="144" t="s">
        <v>423</v>
      </c>
      <c r="AU14" s="144"/>
      <c r="AV14" s="144"/>
      <c r="AW14" s="144"/>
      <c r="AX14" s="144"/>
      <c r="AY14" s="144"/>
      <c r="AZ14" s="280">
        <f>SUM(AZ15:AZ21)</f>
        <v>172</v>
      </c>
      <c r="BA14" s="287"/>
      <c r="BB14" s="284">
        <f>SUM(BB15:BB21)</f>
        <v>645.732398</v>
      </c>
    </row>
    <row r="15" spans="1:54" ht="12.75">
      <c r="A15" s="103"/>
      <c r="B15" s="102" t="s">
        <v>520</v>
      </c>
      <c r="C15" s="320"/>
      <c r="D15" s="320"/>
      <c r="E15" s="148"/>
      <c r="F15" s="148"/>
      <c r="G15" s="148"/>
      <c r="H15" s="148"/>
      <c r="I15" s="149"/>
      <c r="J15" s="152">
        <v>1</v>
      </c>
      <c r="K15" s="152">
        <v>2</v>
      </c>
      <c r="L15" s="152">
        <v>3</v>
      </c>
      <c r="M15" s="152">
        <v>4</v>
      </c>
      <c r="N15" s="152">
        <v>5</v>
      </c>
      <c r="O15" s="152">
        <v>6</v>
      </c>
      <c r="P15" s="152">
        <v>7</v>
      </c>
      <c r="Q15" s="152">
        <v>8</v>
      </c>
      <c r="R15" s="152">
        <v>9</v>
      </c>
      <c r="S15" s="170" t="s">
        <v>145</v>
      </c>
      <c r="T15" s="145" t="s">
        <v>121</v>
      </c>
      <c r="U15" s="146"/>
      <c r="V15" s="146"/>
      <c r="W15" s="163">
        <f t="shared" si="0"/>
        <v>2547567</v>
      </c>
      <c r="X15" s="193">
        <f>ROUND(I20,0)</f>
        <v>2547567</v>
      </c>
      <c r="Y15" s="171">
        <v>0</v>
      </c>
      <c r="Z15" s="171">
        <v>0</v>
      </c>
      <c r="AA15" s="171">
        <v>0</v>
      </c>
      <c r="AB15" s="171">
        <v>1</v>
      </c>
      <c r="AC15" s="145" t="s">
        <v>543</v>
      </c>
      <c r="AD15" s="146"/>
      <c r="AE15" s="147"/>
      <c r="AF15" s="162"/>
      <c r="AG15" s="165"/>
      <c r="AH15" s="165"/>
      <c r="AI15" s="165"/>
      <c r="AJ15" s="303"/>
      <c r="AK15" s="319"/>
      <c r="AL15" s="145" t="s">
        <v>545</v>
      </c>
      <c r="AM15" s="146"/>
      <c r="AN15" s="147"/>
      <c r="AO15" s="175"/>
      <c r="AP15" s="171"/>
      <c r="AQ15" s="171"/>
      <c r="AR15" s="175"/>
      <c r="AS15" s="171"/>
      <c r="AT15" s="147" t="s">
        <v>174</v>
      </c>
      <c r="AU15" s="143"/>
      <c r="AV15" s="143"/>
      <c r="AW15" s="143"/>
      <c r="AX15" s="143"/>
      <c r="AY15" s="143"/>
      <c r="AZ15" s="155">
        <f>AS57-AZ16</f>
        <v>0</v>
      </c>
      <c r="BA15" s="288"/>
      <c r="BB15" s="284">
        <f>AZ15*BA15</f>
        <v>0</v>
      </c>
    </row>
    <row r="16" spans="1:54" ht="12.75">
      <c r="A16" s="171">
        <v>1</v>
      </c>
      <c r="B16" s="143" t="s">
        <v>249</v>
      </c>
      <c r="C16" s="197">
        <v>804152757</v>
      </c>
      <c r="D16" s="230">
        <v>4145.3465</v>
      </c>
      <c r="E16" s="230">
        <v>4231.7602</v>
      </c>
      <c r="F16" s="155">
        <v>36000</v>
      </c>
      <c r="G16" s="252">
        <f>E16-D16</f>
        <v>86.41370000000006</v>
      </c>
      <c r="H16" s="96"/>
      <c r="I16" s="155">
        <f>ROUND((F16*G16+H16),0)</f>
        <v>3110893</v>
      </c>
      <c r="J16" s="103"/>
      <c r="K16" s="148"/>
      <c r="L16" s="148" t="s">
        <v>209</v>
      </c>
      <c r="M16" s="148"/>
      <c r="N16" s="148"/>
      <c r="O16" s="148"/>
      <c r="P16" s="148"/>
      <c r="Q16" s="148"/>
      <c r="R16" s="149"/>
      <c r="S16" s="157" t="s">
        <v>146</v>
      </c>
      <c r="T16" s="159" t="s">
        <v>122</v>
      </c>
      <c r="U16" s="160"/>
      <c r="V16" s="160"/>
      <c r="W16" s="163">
        <f t="shared" si="0"/>
        <v>194140</v>
      </c>
      <c r="X16" s="186">
        <f>ROUND(I27,0)</f>
        <v>194140</v>
      </c>
      <c r="Y16" s="168">
        <v>0</v>
      </c>
      <c r="Z16" s="163">
        <v>0</v>
      </c>
      <c r="AA16" s="168">
        <v>0</v>
      </c>
      <c r="AB16" s="157" t="s">
        <v>145</v>
      </c>
      <c r="AC16" s="159" t="s">
        <v>343</v>
      </c>
      <c r="AD16" s="160"/>
      <c r="AE16" s="161"/>
      <c r="AF16" s="163">
        <f>AG16+AH16+AI16+AJ16</f>
        <v>160710</v>
      </c>
      <c r="AG16" s="163">
        <v>160710</v>
      </c>
      <c r="AH16" s="168">
        <v>0</v>
      </c>
      <c r="AI16" s="163">
        <v>0</v>
      </c>
      <c r="AJ16" s="192">
        <v>0</v>
      </c>
      <c r="AK16" s="157" t="s">
        <v>145</v>
      </c>
      <c r="AL16" s="159" t="s">
        <v>84</v>
      </c>
      <c r="AM16" s="160"/>
      <c r="AN16" s="161"/>
      <c r="AO16" s="163">
        <f>AP16+AQ16+AR16+AS16</f>
        <v>227</v>
      </c>
      <c r="AP16" s="168">
        <v>0</v>
      </c>
      <c r="AQ16" s="168">
        <v>0</v>
      </c>
      <c r="AR16" s="163">
        <v>227</v>
      </c>
      <c r="AS16" s="168">
        <v>0</v>
      </c>
      <c r="AT16" s="147" t="s">
        <v>174</v>
      </c>
      <c r="AU16" s="143"/>
      <c r="AV16" s="143"/>
      <c r="AW16" s="143"/>
      <c r="AX16" s="143"/>
      <c r="AY16" s="143"/>
      <c r="AZ16" s="155">
        <f>AS57/100*80</f>
        <v>0</v>
      </c>
      <c r="BA16" s="289"/>
      <c r="BB16" s="284">
        <f>AZ16*BA16</f>
        <v>0</v>
      </c>
    </row>
    <row r="17" spans="1:54" ht="12.75">
      <c r="A17" s="144"/>
      <c r="B17" s="103" t="s">
        <v>250</v>
      </c>
      <c r="C17" s="213">
        <v>109054169</v>
      </c>
      <c r="D17" s="230">
        <v>6425.5031</v>
      </c>
      <c r="E17" s="230">
        <v>6586.0868</v>
      </c>
      <c r="F17" s="155">
        <v>36000</v>
      </c>
      <c r="G17" s="252">
        <f>E17-D17</f>
        <v>160.58370000000014</v>
      </c>
      <c r="H17" s="96"/>
      <c r="I17" s="155">
        <f>F17*G17+H17</f>
        <v>5781013.200000005</v>
      </c>
      <c r="J17" s="96"/>
      <c r="K17" s="102" t="s">
        <v>210</v>
      </c>
      <c r="L17" s="150"/>
      <c r="M17" s="150"/>
      <c r="N17" s="150"/>
      <c r="O17" s="150"/>
      <c r="P17" s="150"/>
      <c r="Q17" s="150"/>
      <c r="R17" s="151"/>
      <c r="S17" s="157" t="s">
        <v>147</v>
      </c>
      <c r="T17" s="159" t="s">
        <v>123</v>
      </c>
      <c r="U17" s="160"/>
      <c r="V17" s="160"/>
      <c r="W17" s="163">
        <f t="shared" si="0"/>
        <v>210674</v>
      </c>
      <c r="X17" s="186">
        <f>ROUND(I29,0)</f>
        <v>210674</v>
      </c>
      <c r="Y17" s="168">
        <v>0</v>
      </c>
      <c r="Z17" s="163">
        <v>0</v>
      </c>
      <c r="AA17" s="168">
        <v>0</v>
      </c>
      <c r="AB17" s="157" t="s">
        <v>146</v>
      </c>
      <c r="AC17" s="159" t="s">
        <v>172</v>
      </c>
      <c r="AD17" s="160"/>
      <c r="AE17" s="161"/>
      <c r="AF17" s="163">
        <f>AG17+AH17+AI17+AJ17</f>
        <v>4173</v>
      </c>
      <c r="AG17" s="168">
        <v>0</v>
      </c>
      <c r="AH17" s="168">
        <v>0</v>
      </c>
      <c r="AI17" s="163">
        <v>4173</v>
      </c>
      <c r="AJ17" s="192">
        <v>0</v>
      </c>
      <c r="AK17" s="157" t="s">
        <v>146</v>
      </c>
      <c r="AL17" s="159" t="s">
        <v>277</v>
      </c>
      <c r="AM17" s="160"/>
      <c r="AN17" s="161"/>
      <c r="AO17" s="163">
        <f>AP17+AQ17+AR17+AS17</f>
        <v>5836</v>
      </c>
      <c r="AP17" s="168">
        <v>0</v>
      </c>
      <c r="AQ17" s="168">
        <v>0</v>
      </c>
      <c r="AR17" s="163">
        <v>5836</v>
      </c>
      <c r="AS17" s="168">
        <v>0</v>
      </c>
      <c r="AT17" s="146" t="s">
        <v>141</v>
      </c>
      <c r="AU17" s="146"/>
      <c r="AV17" s="146"/>
      <c r="AW17" s="146"/>
      <c r="AX17" s="146"/>
      <c r="AY17" s="147"/>
      <c r="AZ17" s="280">
        <f>R21</f>
        <v>60</v>
      </c>
      <c r="BA17" s="290">
        <v>2.7083333</v>
      </c>
      <c r="BB17" s="284">
        <f>AZ17*BA17</f>
        <v>162.499998</v>
      </c>
    </row>
    <row r="18" spans="1:54" ht="12.75">
      <c r="A18" s="102"/>
      <c r="B18" s="150"/>
      <c r="C18" s="148"/>
      <c r="D18" s="150"/>
      <c r="E18" s="150"/>
      <c r="F18" s="214" t="s">
        <v>212</v>
      </c>
      <c r="G18" s="150"/>
      <c r="H18" s="151"/>
      <c r="I18" s="155">
        <f>ROUND((I16+I17+I22),0)</f>
        <v>8967167</v>
      </c>
      <c r="J18" s="152">
        <v>1</v>
      </c>
      <c r="K18" s="102" t="s">
        <v>211</v>
      </c>
      <c r="L18" s="150"/>
      <c r="M18" s="150"/>
      <c r="N18" s="150"/>
      <c r="O18" s="150"/>
      <c r="P18" s="150"/>
      <c r="Q18" s="150"/>
      <c r="R18" s="151"/>
      <c r="S18" s="157" t="s">
        <v>148</v>
      </c>
      <c r="T18" s="159" t="s">
        <v>124</v>
      </c>
      <c r="U18" s="160"/>
      <c r="V18" s="160"/>
      <c r="W18" s="163">
        <f t="shared" si="0"/>
        <v>82272</v>
      </c>
      <c r="X18" s="186">
        <f>ROUND(I31,0)</f>
        <v>82272</v>
      </c>
      <c r="Y18" s="168">
        <v>0</v>
      </c>
      <c r="Z18" s="163">
        <v>0</v>
      </c>
      <c r="AA18" s="168">
        <v>0</v>
      </c>
      <c r="AB18" s="158" t="s">
        <v>147</v>
      </c>
      <c r="AC18" s="148" t="s">
        <v>156</v>
      </c>
      <c r="AD18" s="148"/>
      <c r="AE18" s="148"/>
      <c r="AF18" s="164">
        <f>AG18+AH18+AI18+AJ18</f>
        <v>4875</v>
      </c>
      <c r="AG18" s="169">
        <v>0</v>
      </c>
      <c r="AH18" s="169">
        <v>0</v>
      </c>
      <c r="AI18" s="164">
        <v>4875</v>
      </c>
      <c r="AJ18" s="318">
        <v>0</v>
      </c>
      <c r="AK18" s="157" t="s">
        <v>147</v>
      </c>
      <c r="AL18" s="159" t="s">
        <v>135</v>
      </c>
      <c r="AM18" s="160"/>
      <c r="AN18" s="161"/>
      <c r="AO18" s="163">
        <f>AP18+AQ18+AR18+AS18</f>
        <v>14927</v>
      </c>
      <c r="AP18" s="168">
        <v>0</v>
      </c>
      <c r="AQ18" s="168">
        <v>0</v>
      </c>
      <c r="AR18" s="163">
        <v>14927</v>
      </c>
      <c r="AS18" s="168">
        <v>0</v>
      </c>
      <c r="AT18" s="146" t="s">
        <v>142</v>
      </c>
      <c r="AU18" s="146"/>
      <c r="AV18" s="146"/>
      <c r="AW18" s="146"/>
      <c r="AX18" s="146"/>
      <c r="AY18" s="147"/>
      <c r="AZ18" s="280">
        <f>R22</f>
        <v>40</v>
      </c>
      <c r="BA18" s="290">
        <v>1.28333</v>
      </c>
      <c r="BB18" s="284">
        <f>AZ18*BA18</f>
        <v>51.333200000000005</v>
      </c>
    </row>
    <row r="19" spans="1:54" ht="12.75">
      <c r="A19" s="96" t="s">
        <v>213</v>
      </c>
      <c r="B19" s="102" t="s">
        <v>466</v>
      </c>
      <c r="C19" s="150"/>
      <c r="D19" s="150"/>
      <c r="E19" s="150"/>
      <c r="F19" s="150"/>
      <c r="G19" s="150"/>
      <c r="H19" s="150"/>
      <c r="I19" s="151"/>
      <c r="J19" s="171" t="s">
        <v>213</v>
      </c>
      <c r="K19" s="143" t="s">
        <v>290</v>
      </c>
      <c r="L19" s="171">
        <v>16654</v>
      </c>
      <c r="M19" s="234">
        <v>4957</v>
      </c>
      <c r="N19" s="234">
        <v>5029</v>
      </c>
      <c r="O19" s="171">
        <v>1</v>
      </c>
      <c r="P19" s="258">
        <f>N19-M19</f>
        <v>72</v>
      </c>
      <c r="Q19" s="259"/>
      <c r="R19" s="175">
        <f>O19*P19+Q19</f>
        <v>72</v>
      </c>
      <c r="S19" s="157" t="s">
        <v>153</v>
      </c>
      <c r="T19" s="159" t="s">
        <v>125</v>
      </c>
      <c r="U19" s="160"/>
      <c r="V19" s="160"/>
      <c r="W19" s="163">
        <f t="shared" si="0"/>
        <v>163186</v>
      </c>
      <c r="X19" s="186">
        <f>ROUND(I33,0)</f>
        <v>163186</v>
      </c>
      <c r="Y19" s="168">
        <v>0</v>
      </c>
      <c r="Z19" s="168">
        <v>0</v>
      </c>
      <c r="AA19" s="168">
        <v>0</v>
      </c>
      <c r="AB19" s="179"/>
      <c r="AC19" s="160"/>
      <c r="AD19" s="160"/>
      <c r="AE19" s="160"/>
      <c r="AF19" s="180"/>
      <c r="AG19" s="181"/>
      <c r="AH19" s="181"/>
      <c r="AI19" s="180"/>
      <c r="AJ19" s="181"/>
      <c r="AK19" s="157" t="s">
        <v>148</v>
      </c>
      <c r="AL19" s="159" t="s">
        <v>158</v>
      </c>
      <c r="AM19" s="160"/>
      <c r="AN19" s="161"/>
      <c r="AO19" s="163">
        <f>AP19+AQ19+AR19+AS19</f>
        <v>614</v>
      </c>
      <c r="AP19" s="163">
        <v>0</v>
      </c>
      <c r="AQ19" s="168">
        <v>0</v>
      </c>
      <c r="AR19" s="163">
        <v>614</v>
      </c>
      <c r="AS19" s="168">
        <v>0</v>
      </c>
      <c r="AT19" s="146" t="s">
        <v>182</v>
      </c>
      <c r="AU19" s="146"/>
      <c r="AV19" s="146"/>
      <c r="AW19" s="146"/>
      <c r="AX19" s="146"/>
      <c r="AY19" s="147"/>
      <c r="AZ19" s="291">
        <f>R19+R20</f>
        <v>72</v>
      </c>
      <c r="BA19" s="285">
        <v>5.9986</v>
      </c>
      <c r="BB19" s="284">
        <f>AZ19*BA19</f>
        <v>431.89919999999995</v>
      </c>
    </row>
    <row r="20" spans="1:54" ht="12.75">
      <c r="A20" s="96" t="s">
        <v>215</v>
      </c>
      <c r="B20" s="96" t="s">
        <v>216</v>
      </c>
      <c r="C20" s="213">
        <v>109053225</v>
      </c>
      <c r="D20" s="230">
        <v>18166.4838</v>
      </c>
      <c r="E20" s="230">
        <v>18287.7965</v>
      </c>
      <c r="F20" s="155">
        <v>21000</v>
      </c>
      <c r="G20" s="252">
        <f>E20-D20</f>
        <v>121.31269999999859</v>
      </c>
      <c r="H20" s="96"/>
      <c r="I20" s="155">
        <f>ROUND((F20*G20+H20),0)</f>
        <v>2547567</v>
      </c>
      <c r="J20" s="144"/>
      <c r="K20" s="144" t="s">
        <v>291</v>
      </c>
      <c r="L20" s="144"/>
      <c r="M20" s="144"/>
      <c r="N20" s="144"/>
      <c r="O20" s="144"/>
      <c r="P20" s="185"/>
      <c r="Q20" s="260"/>
      <c r="R20" s="276"/>
      <c r="S20" s="157" t="s">
        <v>157</v>
      </c>
      <c r="T20" s="159" t="s">
        <v>126</v>
      </c>
      <c r="U20" s="160"/>
      <c r="V20" s="160"/>
      <c r="W20" s="163">
        <f t="shared" si="0"/>
        <v>463034</v>
      </c>
      <c r="X20" s="186">
        <f>ROUND(I35,0)</f>
        <v>463034</v>
      </c>
      <c r="Y20" s="168">
        <v>0</v>
      </c>
      <c r="Z20" s="163">
        <v>0</v>
      </c>
      <c r="AA20" s="168">
        <v>0</v>
      </c>
      <c r="AB20" s="179"/>
      <c r="AC20" s="160"/>
      <c r="AD20" s="160"/>
      <c r="AE20" s="160"/>
      <c r="AF20" s="180"/>
      <c r="AG20" s="180"/>
      <c r="AH20" s="181"/>
      <c r="AI20" s="180"/>
      <c r="AJ20" s="181"/>
      <c r="AK20" s="158" t="s">
        <v>153</v>
      </c>
      <c r="AL20" s="103" t="s">
        <v>544</v>
      </c>
      <c r="AM20" s="148"/>
      <c r="AN20" s="149"/>
      <c r="AO20" s="164">
        <f>AP20+AQ20+AR20+AS20</f>
        <v>13218</v>
      </c>
      <c r="AP20" s="164"/>
      <c r="AQ20" s="169"/>
      <c r="AR20" s="164">
        <v>13218</v>
      </c>
      <c r="AS20" s="169"/>
      <c r="AT20" s="146" t="s">
        <v>416</v>
      </c>
      <c r="AU20" s="146"/>
      <c r="AV20" s="146"/>
      <c r="AW20" s="146"/>
      <c r="AX20" s="146"/>
      <c r="AY20" s="147"/>
      <c r="AZ20" s="280"/>
      <c r="BA20" s="290"/>
      <c r="BB20" s="279"/>
    </row>
    <row r="21" spans="1:54" ht="12.75">
      <c r="A21" s="96" t="s">
        <v>521</v>
      </c>
      <c r="B21" s="150" t="s">
        <v>524</v>
      </c>
      <c r="C21" s="148"/>
      <c r="D21" s="150"/>
      <c r="E21" s="150"/>
      <c r="F21" s="214"/>
      <c r="G21" s="150"/>
      <c r="H21" s="151"/>
      <c r="I21" s="155"/>
      <c r="J21" s="143" t="s">
        <v>219</v>
      </c>
      <c r="K21" s="143" t="s">
        <v>293</v>
      </c>
      <c r="L21" s="377">
        <v>122848480</v>
      </c>
      <c r="M21" s="376">
        <v>420</v>
      </c>
      <c r="N21" s="376">
        <v>423</v>
      </c>
      <c r="O21" s="152">
        <v>20</v>
      </c>
      <c r="P21" s="375">
        <f>N21-M21</f>
        <v>3</v>
      </c>
      <c r="Q21" s="261"/>
      <c r="R21" s="155">
        <f>O21*P21+Q21</f>
        <v>60</v>
      </c>
      <c r="S21" s="157" t="s">
        <v>161</v>
      </c>
      <c r="T21" s="159" t="s">
        <v>127</v>
      </c>
      <c r="U21" s="160"/>
      <c r="V21" s="160"/>
      <c r="W21" s="163">
        <f t="shared" si="0"/>
        <v>140090</v>
      </c>
      <c r="X21" s="186">
        <f>ROUND(I37,0)</f>
        <v>140090</v>
      </c>
      <c r="Y21" s="168">
        <v>0</v>
      </c>
      <c r="Z21" s="163">
        <v>0</v>
      </c>
      <c r="AA21" s="168">
        <v>0</v>
      </c>
      <c r="AB21" s="179"/>
      <c r="AC21" s="160"/>
      <c r="AD21" s="160"/>
      <c r="AE21" s="160"/>
      <c r="AF21" s="180"/>
      <c r="AG21" s="180"/>
      <c r="AH21" s="181"/>
      <c r="AI21" s="180"/>
      <c r="AJ21" s="181"/>
      <c r="AK21" s="179"/>
      <c r="AL21" s="160"/>
      <c r="AM21" s="160"/>
      <c r="AN21" s="160"/>
      <c r="AO21" s="180"/>
      <c r="AP21" s="181"/>
      <c r="AQ21" s="182"/>
      <c r="AR21" s="180"/>
      <c r="AS21" s="181"/>
      <c r="AT21" s="102"/>
      <c r="AU21" s="146"/>
      <c r="AV21" s="146"/>
      <c r="AW21" s="146"/>
      <c r="AX21" s="146"/>
      <c r="AY21" s="147"/>
      <c r="AZ21" s="280"/>
      <c r="BA21" s="290"/>
      <c r="BB21" s="279"/>
    </row>
    <row r="22" spans="1:54" ht="12.75">
      <c r="A22" s="96" t="s">
        <v>522</v>
      </c>
      <c r="B22" s="102" t="s">
        <v>525</v>
      </c>
      <c r="C22" s="150"/>
      <c r="D22" s="150"/>
      <c r="E22" s="150"/>
      <c r="F22" s="150"/>
      <c r="G22" s="150"/>
      <c r="H22" s="151"/>
      <c r="I22" s="280">
        <v>75261</v>
      </c>
      <c r="J22" s="144"/>
      <c r="K22" s="144" t="s">
        <v>292</v>
      </c>
      <c r="L22" s="377">
        <v>122848480</v>
      </c>
      <c r="M22" s="376">
        <v>106</v>
      </c>
      <c r="N22" s="376">
        <v>108</v>
      </c>
      <c r="O22" s="152">
        <v>20</v>
      </c>
      <c r="P22" s="375">
        <f>N22-M22</f>
        <v>2</v>
      </c>
      <c r="Q22" s="261"/>
      <c r="R22" s="155">
        <f>O22*P22+Q22</f>
        <v>40</v>
      </c>
      <c r="S22" s="157" t="s">
        <v>162</v>
      </c>
      <c r="T22" s="159" t="s">
        <v>128</v>
      </c>
      <c r="U22" s="160"/>
      <c r="V22" s="160"/>
      <c r="W22" s="163">
        <f t="shared" si="0"/>
        <v>447914</v>
      </c>
      <c r="X22" s="186">
        <f>ROUND(I39,0)</f>
        <v>447914</v>
      </c>
      <c r="Y22" s="168">
        <v>0</v>
      </c>
      <c r="Z22" s="168">
        <v>0</v>
      </c>
      <c r="AA22" s="168">
        <v>0</v>
      </c>
      <c r="AB22" s="179"/>
      <c r="AC22" s="160"/>
      <c r="AD22" s="160"/>
      <c r="AE22" s="160"/>
      <c r="AF22" s="180"/>
      <c r="AG22" s="181"/>
      <c r="AH22" s="181"/>
      <c r="AI22" s="180"/>
      <c r="AJ22" s="181"/>
      <c r="AK22" s="179"/>
      <c r="AL22" s="160"/>
      <c r="AM22" s="160"/>
      <c r="AN22" s="160"/>
      <c r="AO22" s="180"/>
      <c r="AP22" s="181"/>
      <c r="AQ22" s="182"/>
      <c r="AR22" s="180"/>
      <c r="AS22" s="181"/>
      <c r="AT22" s="255" t="s">
        <v>22</v>
      </c>
      <c r="AU22" s="256"/>
      <c r="AV22" s="256"/>
      <c r="AW22" s="256"/>
      <c r="AX22" s="146"/>
      <c r="AY22" s="147"/>
      <c r="AZ22" s="280"/>
      <c r="BA22" s="293"/>
      <c r="BB22" s="294"/>
    </row>
    <row r="23" spans="1:54" ht="12.75">
      <c r="A23" s="102"/>
      <c r="B23" s="102"/>
      <c r="C23" s="371"/>
      <c r="D23" s="372"/>
      <c r="E23" s="372"/>
      <c r="F23" s="373"/>
      <c r="G23" s="374"/>
      <c r="H23" s="151"/>
      <c r="I23" s="280"/>
      <c r="J23" s="102"/>
      <c r="K23" s="245"/>
      <c r="L23" s="245"/>
      <c r="M23" s="245"/>
      <c r="N23" s="245"/>
      <c r="O23" s="245"/>
      <c r="P23" s="246" t="s">
        <v>274</v>
      </c>
      <c r="Q23" s="247"/>
      <c r="R23" s="155">
        <f>R19+R21+R22+R20</f>
        <v>172</v>
      </c>
      <c r="S23" s="157" t="s">
        <v>163</v>
      </c>
      <c r="T23" s="159" t="s">
        <v>129</v>
      </c>
      <c r="U23" s="160"/>
      <c r="V23" s="160"/>
      <c r="W23" s="163">
        <f t="shared" si="0"/>
        <v>566565</v>
      </c>
      <c r="X23" s="186">
        <v>0</v>
      </c>
      <c r="Y23" s="168">
        <v>0</v>
      </c>
      <c r="Z23" s="163">
        <f>I26+I25</f>
        <v>566565</v>
      </c>
      <c r="AA23" s="168">
        <v>0</v>
      </c>
      <c r="AB23" s="179"/>
      <c r="AC23" s="160"/>
      <c r="AD23" s="160"/>
      <c r="AE23" s="160"/>
      <c r="AF23" s="180"/>
      <c r="AG23" s="181"/>
      <c r="AH23" s="182"/>
      <c r="AI23" s="180"/>
      <c r="AJ23" s="181"/>
      <c r="AK23" s="179"/>
      <c r="AL23" s="160"/>
      <c r="AM23" s="160"/>
      <c r="AN23" s="160"/>
      <c r="AO23" s="180"/>
      <c r="AP23" s="181"/>
      <c r="AQ23" s="182"/>
      <c r="AR23" s="180"/>
      <c r="AS23" s="181"/>
      <c r="AT23" s="145" t="s">
        <v>23</v>
      </c>
      <c r="AU23" s="146"/>
      <c r="AV23" s="146"/>
      <c r="AW23" s="146"/>
      <c r="AX23" s="146"/>
      <c r="AY23" s="147"/>
      <c r="AZ23" s="280"/>
      <c r="BA23" s="293"/>
      <c r="BB23" s="279"/>
    </row>
    <row r="24" spans="1:54" ht="12.75">
      <c r="A24" s="96" t="s">
        <v>219</v>
      </c>
      <c r="B24" s="103" t="s">
        <v>220</v>
      </c>
      <c r="C24" s="148"/>
      <c r="D24" s="148"/>
      <c r="E24" s="148"/>
      <c r="F24" s="148"/>
      <c r="G24" s="148"/>
      <c r="H24" s="148"/>
      <c r="I24" s="151"/>
      <c r="J24" s="145"/>
      <c r="K24" s="146"/>
      <c r="L24" s="146"/>
      <c r="M24" s="146"/>
      <c r="N24" s="146"/>
      <c r="O24" s="146"/>
      <c r="P24" s="248"/>
      <c r="Q24" s="249"/>
      <c r="R24" s="250"/>
      <c r="S24" s="157" t="s">
        <v>164</v>
      </c>
      <c r="T24" s="160" t="s">
        <v>130</v>
      </c>
      <c r="U24" s="160"/>
      <c r="V24" s="160"/>
      <c r="W24" s="163">
        <f t="shared" si="0"/>
        <v>1139</v>
      </c>
      <c r="X24" s="186">
        <v>0</v>
      </c>
      <c r="Y24" s="168">
        <v>0</v>
      </c>
      <c r="Z24" s="163">
        <f>I41</f>
        <v>1139</v>
      </c>
      <c r="AA24" s="168">
        <v>0</v>
      </c>
      <c r="AB24" s="153"/>
      <c r="AC24" s="120" t="s">
        <v>189</v>
      </c>
      <c r="AD24" s="120"/>
      <c r="AE24" s="120"/>
      <c r="AF24" s="154"/>
      <c r="AG24" s="154"/>
      <c r="AH24" s="154"/>
      <c r="AI24" s="154"/>
      <c r="AJ24" s="154"/>
      <c r="AK24" s="153"/>
      <c r="AL24" s="120" t="s">
        <v>278</v>
      </c>
      <c r="AM24" s="120"/>
      <c r="AN24" s="120"/>
      <c r="AO24" s="154"/>
      <c r="AP24" s="154"/>
      <c r="AQ24" s="154"/>
      <c r="AR24" s="154"/>
      <c r="AS24" s="154"/>
      <c r="AT24" s="262" t="s">
        <v>139</v>
      </c>
      <c r="AU24" s="245"/>
      <c r="AV24" s="245"/>
      <c r="AW24" s="245"/>
      <c r="AX24" s="245"/>
      <c r="AY24" s="263"/>
      <c r="AZ24" s="295"/>
      <c r="BA24" s="287"/>
      <c r="BB24" s="284"/>
    </row>
    <row r="25" spans="1:54" ht="12.75">
      <c r="A25" s="143" t="s">
        <v>221</v>
      </c>
      <c r="B25" s="143" t="s">
        <v>224</v>
      </c>
      <c r="C25" s="197"/>
      <c r="D25" s="323"/>
      <c r="E25" s="323"/>
      <c r="F25" s="164"/>
      <c r="G25" s="324"/>
      <c r="H25" s="164"/>
      <c r="I25" s="164"/>
      <c r="J25" s="159" t="s">
        <v>275</v>
      </c>
      <c r="K25" s="160"/>
      <c r="L25" s="160"/>
      <c r="M25" s="160"/>
      <c r="N25" s="160"/>
      <c r="O25" s="160"/>
      <c r="P25" s="190"/>
      <c r="Q25" s="238"/>
      <c r="R25" s="251"/>
      <c r="S25" s="157" t="s">
        <v>165</v>
      </c>
      <c r="T25" s="160" t="s">
        <v>131</v>
      </c>
      <c r="U25" s="160"/>
      <c r="V25" s="160"/>
      <c r="W25" s="163">
        <f t="shared" si="0"/>
        <v>121993</v>
      </c>
      <c r="X25" s="186">
        <v>0</v>
      </c>
      <c r="Y25" s="168">
        <v>0</v>
      </c>
      <c r="Z25" s="163">
        <f>I43</f>
        <v>121993</v>
      </c>
      <c r="AA25" s="168">
        <v>0</v>
      </c>
      <c r="AB25" s="153"/>
      <c r="AC25" s="120" t="s">
        <v>533</v>
      </c>
      <c r="AD25" s="120"/>
      <c r="AE25" s="120"/>
      <c r="AF25" s="120"/>
      <c r="AG25" s="120"/>
      <c r="AH25" s="120"/>
      <c r="AI25" s="120"/>
      <c r="AJ25" s="120"/>
      <c r="AK25" s="153"/>
      <c r="AL25" s="120" t="s">
        <v>533</v>
      </c>
      <c r="AM25" s="120"/>
      <c r="AN25" s="120"/>
      <c r="AO25" s="120"/>
      <c r="AP25" s="120"/>
      <c r="AQ25" s="120"/>
      <c r="AR25" s="120"/>
      <c r="AS25" s="120"/>
      <c r="AT25" s="103" t="s">
        <v>183</v>
      </c>
      <c r="AU25" s="148"/>
      <c r="AV25" s="148"/>
      <c r="AW25" s="148"/>
      <c r="AX25" s="148"/>
      <c r="AY25" s="149"/>
      <c r="AZ25" s="296">
        <v>7.91</v>
      </c>
      <c r="BA25" s="297">
        <v>35268</v>
      </c>
      <c r="BB25" s="284">
        <f>AZ25*BA25</f>
        <v>278969.88</v>
      </c>
    </row>
    <row r="26" spans="1:54" ht="12.75">
      <c r="A26" s="144"/>
      <c r="B26" s="144" t="s">
        <v>222</v>
      </c>
      <c r="C26" s="198">
        <v>109056121</v>
      </c>
      <c r="D26" s="323">
        <v>20778.9574</v>
      </c>
      <c r="E26" s="323">
        <v>20896.9917</v>
      </c>
      <c r="F26" s="164">
        <v>4800</v>
      </c>
      <c r="G26" s="324">
        <f aca="true" t="shared" si="1" ref="G26:G43">E26-D26</f>
        <v>118.03429999999935</v>
      </c>
      <c r="H26" s="164"/>
      <c r="I26" s="164">
        <f>ROUND(F26*G26+H26,0)</f>
        <v>566565</v>
      </c>
      <c r="J26" s="222" t="s">
        <v>548</v>
      </c>
      <c r="K26" s="223"/>
      <c r="L26" s="223"/>
      <c r="M26" s="191"/>
      <c r="N26" s="148"/>
      <c r="O26" s="148"/>
      <c r="P26" s="148"/>
      <c r="Q26" s="148"/>
      <c r="R26" s="209"/>
      <c r="S26" s="158" t="s">
        <v>166</v>
      </c>
      <c r="T26" s="148" t="s">
        <v>132</v>
      </c>
      <c r="U26" s="148"/>
      <c r="V26" s="148"/>
      <c r="W26" s="164">
        <f>SUM(X26:AA26)</f>
        <v>16468</v>
      </c>
      <c r="X26" s="187">
        <v>0</v>
      </c>
      <c r="Y26" s="169">
        <v>0</v>
      </c>
      <c r="Z26" s="164">
        <f>I45+I46</f>
        <v>16468</v>
      </c>
      <c r="AA26" s="169">
        <v>0</v>
      </c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02" t="s">
        <v>184</v>
      </c>
      <c r="AU26" s="150"/>
      <c r="AV26" s="150"/>
      <c r="AW26" s="150"/>
      <c r="AX26" s="160"/>
      <c r="AY26" s="161"/>
      <c r="AZ26" s="296">
        <f>(X14+AG14+AP14)/1000</f>
        <v>4409.587</v>
      </c>
      <c r="BA26" s="279">
        <v>17</v>
      </c>
      <c r="BB26" s="284">
        <f>AZ26*BA26</f>
        <v>74962.979</v>
      </c>
    </row>
    <row r="27" spans="1:54" ht="12.75">
      <c r="A27" s="143" t="s">
        <v>223</v>
      </c>
      <c r="B27" s="143" t="s">
        <v>235</v>
      </c>
      <c r="C27" s="197">
        <v>623125232</v>
      </c>
      <c r="D27" s="325">
        <v>9051.7504</v>
      </c>
      <c r="E27" s="325">
        <v>9159.606</v>
      </c>
      <c r="F27" s="175">
        <v>1800</v>
      </c>
      <c r="G27" s="326">
        <f t="shared" si="1"/>
        <v>107.85559999999896</v>
      </c>
      <c r="H27" s="171"/>
      <c r="I27" s="175">
        <f>ROUND(G27*F27,0)</f>
        <v>194140</v>
      </c>
      <c r="J27" s="120"/>
      <c r="K27" s="160"/>
      <c r="L27" s="160"/>
      <c r="M27" s="160"/>
      <c r="N27" s="160"/>
      <c r="O27" s="160"/>
      <c r="P27" s="190"/>
      <c r="Q27" s="238"/>
      <c r="R27" s="237"/>
      <c r="S27" s="179"/>
      <c r="T27" s="160"/>
      <c r="U27" s="160"/>
      <c r="V27" s="160"/>
      <c r="W27" s="180"/>
      <c r="X27" s="180"/>
      <c r="Y27" s="181"/>
      <c r="Z27" s="180"/>
      <c r="AA27" s="181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03" t="s">
        <v>185</v>
      </c>
      <c r="AU27" s="148"/>
      <c r="AV27" s="148"/>
      <c r="AW27" s="148"/>
      <c r="AX27" s="146"/>
      <c r="AY27" s="147"/>
      <c r="AZ27" s="296">
        <v>2.26</v>
      </c>
      <c r="BA27" s="279">
        <v>35268</v>
      </c>
      <c r="BB27" s="279">
        <f>AZ27*BA27</f>
        <v>79705.68</v>
      </c>
    </row>
    <row r="28" spans="1:54" ht="12.75">
      <c r="A28" s="144"/>
      <c r="B28" s="144" t="s">
        <v>222</v>
      </c>
      <c r="C28" s="169"/>
      <c r="D28" s="228"/>
      <c r="E28" s="228"/>
      <c r="F28" s="164"/>
      <c r="G28" s="227"/>
      <c r="H28" s="169"/>
      <c r="I28" s="164"/>
      <c r="J28" s="160" t="s">
        <v>279</v>
      </c>
      <c r="K28" s="160"/>
      <c r="L28" s="264"/>
      <c r="M28" s="181"/>
      <c r="N28" s="265"/>
      <c r="O28" s="265"/>
      <c r="P28" s="188"/>
      <c r="Q28" s="160"/>
      <c r="R28" s="190"/>
      <c r="S28" s="120"/>
      <c r="T28" s="120"/>
      <c r="U28" s="120"/>
      <c r="V28" s="120"/>
      <c r="W28" s="120"/>
      <c r="X28" s="120"/>
      <c r="Y28" s="120"/>
      <c r="Z28" s="120"/>
      <c r="AA28" s="120"/>
      <c r="AB28" s="120" t="s">
        <v>447</v>
      </c>
      <c r="AC28" s="120"/>
      <c r="AD28" s="120"/>
      <c r="AE28" s="120"/>
      <c r="AF28" s="120"/>
      <c r="AG28" s="120" t="s">
        <v>450</v>
      </c>
      <c r="AH28" s="120"/>
      <c r="AI28" s="120" t="s">
        <v>451</v>
      </c>
      <c r="AJ28" s="120"/>
      <c r="AK28" s="120" t="s">
        <v>447</v>
      </c>
      <c r="AL28" s="120"/>
      <c r="AM28" s="120"/>
      <c r="AN28" s="120"/>
      <c r="AO28" s="120"/>
      <c r="AP28" s="120" t="s">
        <v>151</v>
      </c>
      <c r="AQ28" s="120"/>
      <c r="AR28" s="120" t="s">
        <v>152</v>
      </c>
      <c r="AS28" s="120"/>
      <c r="AT28" s="159" t="s">
        <v>186</v>
      </c>
      <c r="AU28" s="160"/>
      <c r="AV28" s="160"/>
      <c r="AW28" s="160"/>
      <c r="AX28" s="146"/>
      <c r="AY28" s="147"/>
      <c r="AZ28" s="296">
        <f>(Z14+AI14+AR14)/1000</f>
        <v>750.035</v>
      </c>
      <c r="BA28" s="279">
        <v>17</v>
      </c>
      <c r="BB28" s="284">
        <f>AZ28*BA28</f>
        <v>12750.595</v>
      </c>
    </row>
    <row r="29" spans="1:54" ht="12.75">
      <c r="A29" s="143" t="s">
        <v>225</v>
      </c>
      <c r="B29" s="143" t="s">
        <v>236</v>
      </c>
      <c r="C29" s="197">
        <v>623125667</v>
      </c>
      <c r="D29" s="325">
        <v>9685.6147</v>
      </c>
      <c r="E29" s="325">
        <v>9802.656</v>
      </c>
      <c r="F29" s="175">
        <v>1800</v>
      </c>
      <c r="G29" s="326">
        <f t="shared" si="1"/>
        <v>117.04130000000077</v>
      </c>
      <c r="H29" s="171"/>
      <c r="I29" s="175">
        <f>ROUND(G29*F29,0)</f>
        <v>210674</v>
      </c>
      <c r="J29" s="160"/>
      <c r="K29" s="160"/>
      <c r="L29" s="181"/>
      <c r="M29" s="181"/>
      <c r="N29" s="188"/>
      <c r="O29" s="188"/>
      <c r="P29" s="188"/>
      <c r="Q29" s="160"/>
      <c r="R29" s="190"/>
      <c r="S29" s="120"/>
      <c r="T29" s="120"/>
      <c r="U29" s="120"/>
      <c r="V29" s="120"/>
      <c r="W29" s="120"/>
      <c r="X29" s="120"/>
      <c r="Y29" s="120"/>
      <c r="Z29" s="120"/>
      <c r="AA29" s="120"/>
      <c r="AB29" s="120" t="s">
        <v>527</v>
      </c>
      <c r="AC29" s="120"/>
      <c r="AD29" s="120"/>
      <c r="AE29" s="120"/>
      <c r="AF29" s="120"/>
      <c r="AG29" s="120" t="s">
        <v>150</v>
      </c>
      <c r="AH29" s="120"/>
      <c r="AI29" s="120"/>
      <c r="AJ29" s="120"/>
      <c r="AK29" s="120" t="s">
        <v>527</v>
      </c>
      <c r="AL29" s="120"/>
      <c r="AM29" s="120"/>
      <c r="AN29" s="120"/>
      <c r="AO29" s="120"/>
      <c r="AP29" s="120" t="s">
        <v>150</v>
      </c>
      <c r="AQ29" s="120"/>
      <c r="AR29" s="120"/>
      <c r="AS29" s="120"/>
      <c r="AT29" s="145"/>
      <c r="AU29" s="146"/>
      <c r="AV29" s="146"/>
      <c r="AW29" s="146"/>
      <c r="AX29" s="146"/>
      <c r="AY29" s="147"/>
      <c r="AZ29" s="280"/>
      <c r="BA29" s="287"/>
      <c r="BB29" s="284"/>
    </row>
    <row r="30" spans="1:54" ht="12.75">
      <c r="A30" s="144"/>
      <c r="B30" s="144" t="s">
        <v>222</v>
      </c>
      <c r="C30" s="169"/>
      <c r="D30" s="228"/>
      <c r="E30" s="228"/>
      <c r="F30" s="164"/>
      <c r="G30" s="227"/>
      <c r="H30" s="169"/>
      <c r="I30" s="164"/>
      <c r="J30" s="160"/>
      <c r="K30" s="160"/>
      <c r="L30" s="181"/>
      <c r="M30" s="181"/>
      <c r="N30" s="188"/>
      <c r="O30" s="188"/>
      <c r="P30" s="188"/>
      <c r="Q30" s="160"/>
      <c r="R30" s="19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45"/>
      <c r="AU30" s="146"/>
      <c r="AV30" s="146"/>
      <c r="AW30" s="146"/>
      <c r="AX30" s="146"/>
      <c r="AY30" s="147"/>
      <c r="AZ30" s="280"/>
      <c r="BA30" s="287"/>
      <c r="BB30" s="284"/>
    </row>
    <row r="31" spans="1:54" ht="12.75">
      <c r="A31" s="143" t="s">
        <v>226</v>
      </c>
      <c r="B31" s="143" t="s">
        <v>237</v>
      </c>
      <c r="C31" s="197">
        <v>623126370</v>
      </c>
      <c r="D31" s="325">
        <v>2621.9548</v>
      </c>
      <c r="E31" s="325">
        <v>2639.0947</v>
      </c>
      <c r="F31" s="175">
        <v>4800</v>
      </c>
      <c r="G31" s="326">
        <f t="shared" si="1"/>
        <v>17.139900000000125</v>
      </c>
      <c r="H31" s="171"/>
      <c r="I31" s="175">
        <f>ROUND(G31*F31,0)</f>
        <v>82272</v>
      </c>
      <c r="J31" s="160"/>
      <c r="K31" s="160"/>
      <c r="L31" s="264"/>
      <c r="M31" s="181"/>
      <c r="N31" s="265" t="s">
        <v>280</v>
      </c>
      <c r="O31" s="265"/>
      <c r="P31" s="188"/>
      <c r="Q31" s="160"/>
      <c r="R31" s="190"/>
      <c r="S31" s="120" t="s">
        <v>447</v>
      </c>
      <c r="T31" s="120"/>
      <c r="U31" s="120"/>
      <c r="V31" s="120"/>
      <c r="W31" s="120"/>
      <c r="X31" s="120" t="s">
        <v>450</v>
      </c>
      <c r="Y31" s="120"/>
      <c r="Z31" s="120" t="s">
        <v>451</v>
      </c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45"/>
      <c r="AU31" s="146"/>
      <c r="AV31" s="146"/>
      <c r="AW31" s="146"/>
      <c r="AX31" s="146"/>
      <c r="AY31" s="147"/>
      <c r="AZ31" s="280"/>
      <c r="BA31" s="287"/>
      <c r="BB31" s="284"/>
    </row>
    <row r="32" spans="1:54" ht="12.75">
      <c r="A32" s="144"/>
      <c r="B32" s="144" t="s">
        <v>222</v>
      </c>
      <c r="C32" s="169"/>
      <c r="D32" s="228"/>
      <c r="E32" s="228"/>
      <c r="F32" s="164"/>
      <c r="G32" s="227"/>
      <c r="H32" s="169"/>
      <c r="I32" s="164"/>
      <c r="J32" s="160"/>
      <c r="K32" s="160"/>
      <c r="L32" s="181"/>
      <c r="M32" s="181"/>
      <c r="N32" s="265" t="s">
        <v>529</v>
      </c>
      <c r="O32" s="265"/>
      <c r="P32" s="188"/>
      <c r="Q32" s="160"/>
      <c r="R32" s="190"/>
      <c r="S32" s="120" t="s">
        <v>527</v>
      </c>
      <c r="T32" s="120"/>
      <c r="U32" s="120"/>
      <c r="V32" s="120"/>
      <c r="W32" s="120"/>
      <c r="X32" s="120" t="s">
        <v>150</v>
      </c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45" t="s">
        <v>432</v>
      </c>
      <c r="AU32" s="146"/>
      <c r="AV32" s="146"/>
      <c r="AW32" s="146"/>
      <c r="AX32" s="146"/>
      <c r="AY32" s="147"/>
      <c r="AZ32" s="280"/>
      <c r="BA32" s="298"/>
      <c r="BB32" s="279"/>
    </row>
    <row r="33" spans="1:54" ht="12.75">
      <c r="A33" s="143" t="s">
        <v>227</v>
      </c>
      <c r="B33" s="143" t="s">
        <v>238</v>
      </c>
      <c r="C33" s="197">
        <v>623125137</v>
      </c>
      <c r="D33" s="325">
        <v>2122.0976</v>
      </c>
      <c r="E33" s="325">
        <v>2156.0947</v>
      </c>
      <c r="F33" s="175">
        <v>4800</v>
      </c>
      <c r="G33" s="326">
        <f t="shared" si="1"/>
        <v>33.997100000000046</v>
      </c>
      <c r="H33" s="171"/>
      <c r="I33" s="175">
        <f>ROUND(G33*F33,0)</f>
        <v>163186</v>
      </c>
      <c r="J33" s="160"/>
      <c r="K33" s="160"/>
      <c r="L33" s="264"/>
      <c r="M33" s="181"/>
      <c r="N33" s="265" t="s">
        <v>563</v>
      </c>
      <c r="O33" s="265"/>
      <c r="P33" s="188"/>
      <c r="Q33" s="160"/>
      <c r="R33" s="190"/>
      <c r="S33" s="120"/>
      <c r="T33" s="120"/>
      <c r="U33" s="120"/>
      <c r="V33" s="120"/>
      <c r="W33" s="120"/>
      <c r="X33" s="120"/>
      <c r="Y33" s="120"/>
      <c r="Z33" s="120"/>
      <c r="AA33" s="120"/>
      <c r="AB33" s="120" t="s">
        <v>149</v>
      </c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45" t="s">
        <v>430</v>
      </c>
      <c r="AU33" s="146"/>
      <c r="AV33" s="146"/>
      <c r="AW33" s="146"/>
      <c r="AX33" s="146"/>
      <c r="AY33" s="147"/>
      <c r="AZ33" s="280"/>
      <c r="BA33" s="287"/>
      <c r="BB33" s="279"/>
    </row>
    <row r="34" spans="1:54" ht="12.75">
      <c r="A34" s="144"/>
      <c r="B34" s="144" t="s">
        <v>222</v>
      </c>
      <c r="C34" s="169"/>
      <c r="D34" s="228"/>
      <c r="E34" s="228"/>
      <c r="F34" s="164"/>
      <c r="G34" s="227"/>
      <c r="H34" s="169"/>
      <c r="I34" s="164"/>
      <c r="J34" s="160"/>
      <c r="K34" s="160"/>
      <c r="L34" s="181"/>
      <c r="M34" s="181"/>
      <c r="N34" s="265"/>
      <c r="O34" s="265"/>
      <c r="P34" s="188"/>
      <c r="Q34" s="160"/>
      <c r="R34" s="190"/>
      <c r="S34" s="120"/>
      <c r="T34" s="120"/>
      <c r="U34" s="120"/>
      <c r="V34" s="120"/>
      <c r="W34" s="120"/>
      <c r="X34" s="120"/>
      <c r="Y34" s="120"/>
      <c r="Z34" s="120"/>
      <c r="AA34" s="120"/>
      <c r="AB34" s="120" t="s">
        <v>18</v>
      </c>
      <c r="AC34" s="120"/>
      <c r="AD34" s="120"/>
      <c r="AE34" s="120"/>
      <c r="AF34" s="120"/>
      <c r="AG34" s="120"/>
      <c r="AH34" s="120"/>
      <c r="AI34" s="120"/>
      <c r="AJ34" s="120"/>
      <c r="AK34" s="120" t="s">
        <v>149</v>
      </c>
      <c r="AL34" s="120"/>
      <c r="AM34" s="120"/>
      <c r="AN34" s="120"/>
      <c r="AO34" s="120"/>
      <c r="AP34" s="120"/>
      <c r="AQ34" s="120"/>
      <c r="AR34" s="120"/>
      <c r="AS34" s="120"/>
      <c r="AT34" s="145" t="s">
        <v>437</v>
      </c>
      <c r="AU34" s="146"/>
      <c r="AV34" s="146"/>
      <c r="AW34" s="146"/>
      <c r="AX34" s="146"/>
      <c r="AY34" s="147"/>
      <c r="AZ34" s="280"/>
      <c r="BA34" s="293"/>
      <c r="BB34" s="279"/>
    </row>
    <row r="35" spans="1:54" ht="12.75">
      <c r="A35" s="143" t="s">
        <v>228</v>
      </c>
      <c r="B35" s="143" t="s">
        <v>239</v>
      </c>
      <c r="C35" s="197">
        <v>623125142</v>
      </c>
      <c r="D35" s="325">
        <v>13339.9017</v>
      </c>
      <c r="E35" s="325">
        <v>13532.8324</v>
      </c>
      <c r="F35" s="175">
        <v>2400</v>
      </c>
      <c r="G35" s="326">
        <f t="shared" si="1"/>
        <v>192.93069999999898</v>
      </c>
      <c r="H35" s="171"/>
      <c r="I35" s="175">
        <f>ROUND(G35*F35,0)</f>
        <v>463034</v>
      </c>
      <c r="J35" s="160"/>
      <c r="K35" s="160"/>
      <c r="L35" s="264"/>
      <c r="M35" s="181"/>
      <c r="N35" s="266" t="s">
        <v>283</v>
      </c>
      <c r="O35" s="266"/>
      <c r="P35" s="188"/>
      <c r="Q35" s="160"/>
      <c r="R35" s="190"/>
      <c r="S35" s="120"/>
      <c r="T35" s="120"/>
      <c r="U35" s="120"/>
      <c r="V35" s="120"/>
      <c r="W35" s="120"/>
      <c r="X35" s="120"/>
      <c r="Y35" s="120"/>
      <c r="Z35" s="120"/>
      <c r="AA35" s="120"/>
      <c r="AB35" s="120" t="s">
        <v>167</v>
      </c>
      <c r="AC35" s="120"/>
      <c r="AD35" s="120"/>
      <c r="AE35" s="120"/>
      <c r="AF35" s="120"/>
      <c r="AG35" s="120" t="s">
        <v>134</v>
      </c>
      <c r="AH35" s="120"/>
      <c r="AI35" s="120" t="s">
        <v>133</v>
      </c>
      <c r="AJ35" s="120"/>
      <c r="AK35" s="120" t="s">
        <v>462</v>
      </c>
      <c r="AL35" s="120"/>
      <c r="AM35" s="120"/>
      <c r="AN35" s="120"/>
      <c r="AO35" s="120"/>
      <c r="AP35" s="120"/>
      <c r="AQ35" s="120" t="s">
        <v>463</v>
      </c>
      <c r="AR35" s="120"/>
      <c r="AS35" s="120"/>
      <c r="AT35" s="145" t="s">
        <v>430</v>
      </c>
      <c r="AU35" s="146"/>
      <c r="AV35" s="146"/>
      <c r="AW35" s="146"/>
      <c r="AX35" s="146"/>
      <c r="AY35" s="147"/>
      <c r="AZ35" s="280"/>
      <c r="BA35" s="293"/>
      <c r="BB35" s="279"/>
    </row>
    <row r="36" spans="1:54" ht="12.75">
      <c r="A36" s="144"/>
      <c r="B36" s="144" t="s">
        <v>222</v>
      </c>
      <c r="C36" s="169"/>
      <c r="D36" s="228"/>
      <c r="E36" s="228"/>
      <c r="F36" s="164"/>
      <c r="G36" s="227"/>
      <c r="H36" s="169"/>
      <c r="I36" s="164"/>
      <c r="J36" s="160"/>
      <c r="K36" s="239"/>
      <c r="L36" s="181"/>
      <c r="M36" s="181"/>
      <c r="N36" s="267" t="s">
        <v>281</v>
      </c>
      <c r="O36" s="188"/>
      <c r="P36" s="188"/>
      <c r="Q36" s="160"/>
      <c r="R36" s="190"/>
      <c r="S36" s="120"/>
      <c r="T36" s="120"/>
      <c r="U36" s="120"/>
      <c r="V36" s="120"/>
      <c r="W36" s="120"/>
      <c r="X36" s="120"/>
      <c r="Y36" s="120"/>
      <c r="Z36" s="120"/>
      <c r="AA36" s="120"/>
      <c r="AB36" s="120" t="s">
        <v>188</v>
      </c>
      <c r="AC36" s="120"/>
      <c r="AD36" s="120"/>
      <c r="AE36" s="120"/>
      <c r="AF36" s="120"/>
      <c r="AG36" s="120" t="s">
        <v>150</v>
      </c>
      <c r="AH36" s="120"/>
      <c r="AI36" s="120"/>
      <c r="AJ36" s="120"/>
      <c r="AK36" s="120"/>
      <c r="AL36" s="120"/>
      <c r="AM36" s="120"/>
      <c r="AN36" s="120"/>
      <c r="AO36" s="120"/>
      <c r="AP36" s="120"/>
      <c r="AQ36" s="120" t="s">
        <v>150</v>
      </c>
      <c r="AR36" s="120"/>
      <c r="AS36" s="120"/>
      <c r="AT36" s="145" t="s">
        <v>430</v>
      </c>
      <c r="AU36" s="146"/>
      <c r="AV36" s="146"/>
      <c r="AW36" s="146"/>
      <c r="AX36" s="146"/>
      <c r="AY36" s="147"/>
      <c r="AZ36" s="280"/>
      <c r="BA36" s="293"/>
      <c r="BB36" s="279"/>
    </row>
    <row r="37" spans="1:54" ht="12.75">
      <c r="A37" s="143" t="s">
        <v>229</v>
      </c>
      <c r="B37" s="143" t="s">
        <v>240</v>
      </c>
      <c r="C37" s="197">
        <v>623125205</v>
      </c>
      <c r="D37" s="325">
        <v>4603.3687</v>
      </c>
      <c r="E37" s="325">
        <v>4681.1962</v>
      </c>
      <c r="F37" s="175">
        <v>1800</v>
      </c>
      <c r="G37" s="326">
        <f t="shared" si="1"/>
        <v>77.82750000000033</v>
      </c>
      <c r="H37" s="171"/>
      <c r="I37" s="175">
        <f>ROUND(G37*F37,0)</f>
        <v>140090</v>
      </c>
      <c r="J37" s="120"/>
      <c r="K37" s="160"/>
      <c r="L37" s="160"/>
      <c r="M37" s="160"/>
      <c r="N37" s="160"/>
      <c r="O37" s="160"/>
      <c r="P37" s="190"/>
      <c r="Q37" s="236"/>
      <c r="R37" s="237"/>
      <c r="S37" s="120" t="s">
        <v>160</v>
      </c>
      <c r="T37" s="120"/>
      <c r="U37" s="120"/>
      <c r="V37" s="120"/>
      <c r="W37" s="120"/>
      <c r="X37" s="120" t="s">
        <v>450</v>
      </c>
      <c r="Y37" s="120"/>
      <c r="Z37" s="120" t="s">
        <v>137</v>
      </c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46" t="s">
        <v>323</v>
      </c>
      <c r="AU37" s="146"/>
      <c r="AV37" s="146"/>
      <c r="AW37" s="146"/>
      <c r="AX37" s="146"/>
      <c r="AY37" s="147"/>
      <c r="AZ37" s="280"/>
      <c r="BA37" s="287"/>
      <c r="BB37" s="279"/>
    </row>
    <row r="38" spans="1:54" ht="12.75">
      <c r="A38" s="144"/>
      <c r="B38" s="144" t="s">
        <v>222</v>
      </c>
      <c r="C38" s="169"/>
      <c r="D38" s="228"/>
      <c r="E38" s="228"/>
      <c r="F38" s="164"/>
      <c r="G38" s="227"/>
      <c r="H38" s="169"/>
      <c r="I38" s="164"/>
      <c r="J38" s="120"/>
      <c r="K38" s="160"/>
      <c r="L38" s="160"/>
      <c r="M38" s="160"/>
      <c r="N38" s="160"/>
      <c r="O38" s="160"/>
      <c r="P38" s="190"/>
      <c r="Q38" s="236"/>
      <c r="R38" s="237"/>
      <c r="S38" s="120"/>
      <c r="T38" s="120"/>
      <c r="U38" s="120"/>
      <c r="V38" s="120"/>
      <c r="W38" s="120"/>
      <c r="X38" s="120" t="s">
        <v>150</v>
      </c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45" t="s">
        <v>430</v>
      </c>
      <c r="AU38" s="146"/>
      <c r="AV38" s="146" t="s">
        <v>96</v>
      </c>
      <c r="AW38" s="146"/>
      <c r="AX38" s="146"/>
      <c r="AY38" s="147"/>
      <c r="AZ38" s="280"/>
      <c r="BA38" s="293"/>
      <c r="BB38" s="279"/>
    </row>
    <row r="39" spans="1:54" ht="12.75">
      <c r="A39" s="143" t="s">
        <v>230</v>
      </c>
      <c r="B39" s="143" t="s">
        <v>241</v>
      </c>
      <c r="C39" s="197">
        <v>623123704</v>
      </c>
      <c r="D39" s="325">
        <v>7231.8174</v>
      </c>
      <c r="E39" s="325">
        <v>7480.6587</v>
      </c>
      <c r="F39" s="175">
        <v>1800</v>
      </c>
      <c r="G39" s="326">
        <f t="shared" si="1"/>
        <v>248.84130000000005</v>
      </c>
      <c r="H39" s="171"/>
      <c r="I39" s="175">
        <f>ROUND(G39*F39,0)</f>
        <v>447914</v>
      </c>
      <c r="J39" s="120"/>
      <c r="K39" s="160"/>
      <c r="L39" s="160"/>
      <c r="M39" s="160"/>
      <c r="N39" s="160"/>
      <c r="O39" s="160"/>
      <c r="P39" s="190"/>
      <c r="Q39" s="236"/>
      <c r="R39" s="237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45" t="s">
        <v>431</v>
      </c>
      <c r="AU39" s="146"/>
      <c r="AV39" s="146" t="s">
        <v>416</v>
      </c>
      <c r="AW39" s="146"/>
      <c r="AX39" s="146"/>
      <c r="AY39" s="147"/>
      <c r="AZ39" s="280"/>
      <c r="BA39" s="293"/>
      <c r="BB39" s="279"/>
    </row>
    <row r="40" spans="1:54" ht="12.75">
      <c r="A40" s="144"/>
      <c r="B40" s="144" t="s">
        <v>222</v>
      </c>
      <c r="C40" s="169"/>
      <c r="D40" s="228"/>
      <c r="E40" s="228"/>
      <c r="F40" s="164"/>
      <c r="G40" s="227"/>
      <c r="H40" s="169"/>
      <c r="I40" s="164"/>
      <c r="J40" s="120"/>
      <c r="K40" s="160"/>
      <c r="L40" s="160"/>
      <c r="M40" s="160"/>
      <c r="N40" s="160"/>
      <c r="O40" s="160"/>
      <c r="P40" s="190"/>
      <c r="Q40" s="236"/>
      <c r="R40" s="237"/>
      <c r="S40" s="239"/>
      <c r="T40" s="268"/>
      <c r="U40" s="160"/>
      <c r="V40" s="160"/>
      <c r="W40" s="188"/>
      <c r="X40" s="188"/>
      <c r="Y40" s="269"/>
      <c r="Z40" s="160"/>
      <c r="AA40" s="19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45"/>
      <c r="AU40" s="146"/>
      <c r="AV40" s="146"/>
      <c r="AW40" s="146"/>
      <c r="AX40" s="146"/>
      <c r="AY40" s="147"/>
      <c r="AZ40" s="280"/>
      <c r="BA40" s="293"/>
      <c r="BB40" s="279"/>
    </row>
    <row r="41" spans="1:54" ht="12.75">
      <c r="A41" s="143" t="s">
        <v>231</v>
      </c>
      <c r="B41" s="143" t="s">
        <v>242</v>
      </c>
      <c r="C41" s="197">
        <v>623125794</v>
      </c>
      <c r="D41" s="325">
        <v>75.5409</v>
      </c>
      <c r="E41" s="325">
        <v>76.1735</v>
      </c>
      <c r="F41" s="175">
        <v>1800</v>
      </c>
      <c r="G41" s="326">
        <f t="shared" si="1"/>
        <v>0.6326000000000107</v>
      </c>
      <c r="H41" s="171"/>
      <c r="I41" s="175">
        <f>ROUND(G41*F41,0)</f>
        <v>1139</v>
      </c>
      <c r="J41" s="120"/>
      <c r="K41" s="160"/>
      <c r="L41" s="160"/>
      <c r="M41" s="160"/>
      <c r="N41" s="160"/>
      <c r="O41" s="160"/>
      <c r="P41" s="190"/>
      <c r="Q41" s="236"/>
      <c r="R41" s="237"/>
      <c r="S41" s="239"/>
      <c r="T41" s="268"/>
      <c r="U41" s="160"/>
      <c r="V41" s="160"/>
      <c r="W41" s="188"/>
      <c r="X41" s="188"/>
      <c r="Y41" s="269"/>
      <c r="Z41" s="160"/>
      <c r="AA41" s="19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45"/>
      <c r="AU41" s="146"/>
      <c r="AV41" s="146"/>
      <c r="AW41" s="146"/>
      <c r="AX41" s="146"/>
      <c r="AY41" s="147"/>
      <c r="AZ41" s="280"/>
      <c r="BA41" s="293"/>
      <c r="BB41" s="279"/>
    </row>
    <row r="42" spans="1:54" ht="12.75">
      <c r="A42" s="144"/>
      <c r="B42" s="144" t="s">
        <v>222</v>
      </c>
      <c r="C42" s="169"/>
      <c r="D42" s="228"/>
      <c r="E42" s="228"/>
      <c r="F42" s="164"/>
      <c r="G42" s="227"/>
      <c r="H42" s="169"/>
      <c r="I42" s="164"/>
      <c r="J42" s="120"/>
      <c r="K42" s="160"/>
      <c r="L42" s="160"/>
      <c r="M42" s="160"/>
      <c r="N42" s="160"/>
      <c r="O42" s="160"/>
      <c r="P42" s="190"/>
      <c r="Q42" s="236"/>
      <c r="R42" s="237"/>
      <c r="S42" s="268"/>
      <c r="T42" s="239"/>
      <c r="U42" s="160"/>
      <c r="V42" s="160"/>
      <c r="W42" s="160"/>
      <c r="X42" s="160"/>
      <c r="Y42" s="160"/>
      <c r="Z42" s="160"/>
      <c r="AA42" s="19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45"/>
      <c r="AU42" s="146"/>
      <c r="AV42" s="146"/>
      <c r="AW42" s="146"/>
      <c r="AX42" s="146"/>
      <c r="AY42" s="147"/>
      <c r="AZ42" s="280"/>
      <c r="BA42" s="287"/>
      <c r="BB42" s="279"/>
    </row>
    <row r="43" spans="1:54" ht="12.75">
      <c r="A43" s="143" t="s">
        <v>232</v>
      </c>
      <c r="B43" s="143" t="s">
        <v>243</v>
      </c>
      <c r="C43" s="197">
        <v>623125736</v>
      </c>
      <c r="D43" s="325">
        <v>4013.2168</v>
      </c>
      <c r="E43" s="325">
        <v>4114.8773</v>
      </c>
      <c r="F43" s="175">
        <v>1200</v>
      </c>
      <c r="G43" s="326">
        <f t="shared" si="1"/>
        <v>101.66049999999996</v>
      </c>
      <c r="H43" s="171"/>
      <c r="I43" s="175">
        <f>ROUND(G43*F43,0)</f>
        <v>121993</v>
      </c>
      <c r="J43" s="120"/>
      <c r="K43" s="160"/>
      <c r="L43" s="160"/>
      <c r="M43" s="160"/>
      <c r="N43" s="160"/>
      <c r="O43" s="160"/>
      <c r="P43" s="190"/>
      <c r="Q43" s="236"/>
      <c r="R43" s="237"/>
      <c r="S43" s="239"/>
      <c r="T43" s="268"/>
      <c r="U43" s="160"/>
      <c r="V43" s="160"/>
      <c r="W43" s="188"/>
      <c r="X43" s="188"/>
      <c r="Y43" s="269"/>
      <c r="Z43" s="160"/>
      <c r="AA43" s="19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45" t="s">
        <v>323</v>
      </c>
      <c r="AU43" s="146"/>
      <c r="AV43" s="146"/>
      <c r="AW43" s="146"/>
      <c r="AX43" s="146"/>
      <c r="AY43" s="147"/>
      <c r="AZ43" s="280"/>
      <c r="BA43" s="293"/>
      <c r="BB43" s="279"/>
    </row>
    <row r="44" spans="1:54" ht="12.75">
      <c r="A44" s="144"/>
      <c r="B44" s="144" t="s">
        <v>222</v>
      </c>
      <c r="C44" s="168"/>
      <c r="D44" s="228"/>
      <c r="E44" s="228"/>
      <c r="F44" s="164"/>
      <c r="G44" s="227"/>
      <c r="H44" s="169"/>
      <c r="I44" s="164"/>
      <c r="J44" s="160"/>
      <c r="K44" s="160"/>
      <c r="L44" s="160"/>
      <c r="M44" s="160"/>
      <c r="N44" s="160"/>
      <c r="O44" s="160"/>
      <c r="P44" s="190"/>
      <c r="Q44" s="236"/>
      <c r="R44" s="237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45"/>
      <c r="AU44" s="146"/>
      <c r="AV44" s="146"/>
      <c r="AW44" s="146"/>
      <c r="AX44" s="146"/>
      <c r="AY44" s="147"/>
      <c r="AZ44" s="280"/>
      <c r="BA44" s="287"/>
      <c r="BB44" s="279"/>
    </row>
    <row r="45" spans="1:54" ht="12.75">
      <c r="A45" s="143" t="s">
        <v>233</v>
      </c>
      <c r="B45" s="145" t="s">
        <v>234</v>
      </c>
      <c r="C45" s="197">
        <v>1110171156</v>
      </c>
      <c r="D45" s="325">
        <v>11288.8952</v>
      </c>
      <c r="E45" s="325">
        <v>11700.5836</v>
      </c>
      <c r="F45" s="175">
        <v>40</v>
      </c>
      <c r="G45" s="326">
        <f>E45-D45</f>
        <v>411.6883999999991</v>
      </c>
      <c r="H45" s="171"/>
      <c r="I45" s="175">
        <f>ROUND(G45*F45,0)</f>
        <v>16468</v>
      </c>
      <c r="J45" s="160"/>
      <c r="K45" s="160"/>
      <c r="L45" s="160"/>
      <c r="M45" s="160"/>
      <c r="N45" s="160"/>
      <c r="O45" s="160"/>
      <c r="P45" s="190"/>
      <c r="Q45" s="238"/>
      <c r="R45" s="237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45" t="s">
        <v>3</v>
      </c>
      <c r="AU45" s="146"/>
      <c r="AV45" s="146"/>
      <c r="AW45" s="146"/>
      <c r="AX45" s="146"/>
      <c r="AY45" s="147"/>
      <c r="AZ45" s="280"/>
      <c r="BA45" s="287"/>
      <c r="BB45" s="279"/>
    </row>
    <row r="46" spans="1:54" ht="12.75">
      <c r="A46" s="144"/>
      <c r="B46" s="103" t="s">
        <v>222</v>
      </c>
      <c r="C46" s="198"/>
      <c r="D46" s="378"/>
      <c r="E46" s="325"/>
      <c r="F46" s="175"/>
      <c r="G46" s="326"/>
      <c r="H46" s="171"/>
      <c r="I46" s="175"/>
      <c r="J46" s="160"/>
      <c r="K46" s="160"/>
      <c r="L46" s="160"/>
      <c r="M46" s="160"/>
      <c r="N46" s="160"/>
      <c r="O46" s="160"/>
      <c r="P46" s="190"/>
      <c r="Q46" s="236"/>
      <c r="R46" s="237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45"/>
      <c r="AU46" s="146"/>
      <c r="AV46" s="146" t="s">
        <v>330</v>
      </c>
      <c r="AW46" s="146"/>
      <c r="AX46" s="146"/>
      <c r="AY46" s="147"/>
      <c r="AZ46" s="280"/>
      <c r="BA46" s="298"/>
      <c r="BB46" s="279"/>
    </row>
    <row r="47" spans="1:54" ht="12.75">
      <c r="A47" s="201"/>
      <c r="B47" s="150"/>
      <c r="C47" s="191"/>
      <c r="D47" s="199"/>
      <c r="E47" s="200"/>
      <c r="F47" s="200"/>
      <c r="G47" s="215" t="s">
        <v>244</v>
      </c>
      <c r="H47" s="151"/>
      <c r="I47" s="235">
        <f>ROUND((SUM(I25:I46)+I20),0)</f>
        <v>4955042</v>
      </c>
      <c r="J47" s="160"/>
      <c r="K47" s="160"/>
      <c r="L47" s="160"/>
      <c r="M47" s="160"/>
      <c r="N47" s="160"/>
      <c r="O47" s="160"/>
      <c r="P47" s="190"/>
      <c r="Q47" s="238"/>
      <c r="R47" s="237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45"/>
      <c r="AU47" s="146"/>
      <c r="AV47" s="146"/>
      <c r="AW47" s="146"/>
      <c r="AX47" s="146"/>
      <c r="AY47" s="147"/>
      <c r="AZ47" s="280"/>
      <c r="BA47" s="287"/>
      <c r="BB47" s="279"/>
    </row>
    <row r="48" spans="1:54" ht="12.75">
      <c r="A48" s="143" t="s">
        <v>247</v>
      </c>
      <c r="B48" s="145" t="s">
        <v>245</v>
      </c>
      <c r="C48" s="202"/>
      <c r="D48" s="202"/>
      <c r="E48" s="203"/>
      <c r="F48" s="203"/>
      <c r="G48" s="204"/>
      <c r="H48" s="146"/>
      <c r="I48" s="205"/>
      <c r="J48" s="160"/>
      <c r="K48" s="160"/>
      <c r="L48" s="160"/>
      <c r="M48" s="160"/>
      <c r="N48" s="160"/>
      <c r="O48" s="160"/>
      <c r="P48" s="190"/>
      <c r="Q48" s="236"/>
      <c r="R48" s="237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45"/>
      <c r="AU48" s="146"/>
      <c r="AV48" s="146"/>
      <c r="AW48" s="146"/>
      <c r="AX48" s="146"/>
      <c r="AY48" s="147"/>
      <c r="AZ48" s="280"/>
      <c r="BA48" s="298"/>
      <c r="BB48" s="279"/>
    </row>
    <row r="49" spans="1:54" ht="12.75">
      <c r="A49" s="173"/>
      <c r="B49" s="159" t="s">
        <v>246</v>
      </c>
      <c r="C49" s="206"/>
      <c r="D49" s="191"/>
      <c r="E49" s="207"/>
      <c r="F49" s="207"/>
      <c r="G49" s="208"/>
      <c r="H49" s="148"/>
      <c r="I49" s="209"/>
      <c r="J49" s="160"/>
      <c r="K49" s="160"/>
      <c r="L49" s="239"/>
      <c r="M49" s="160"/>
      <c r="N49" s="160"/>
      <c r="O49" s="160"/>
      <c r="P49" s="190"/>
      <c r="Q49" s="236"/>
      <c r="R49" s="237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45"/>
      <c r="AU49" s="146"/>
      <c r="AV49" s="146" t="s">
        <v>330</v>
      </c>
      <c r="AW49" s="146"/>
      <c r="AX49" s="146"/>
      <c r="AY49" s="147"/>
      <c r="AZ49" s="280"/>
      <c r="BA49" s="293"/>
      <c r="BB49" s="279"/>
    </row>
    <row r="50" spans="1:54" ht="12.75">
      <c r="A50" s="145" t="s">
        <v>248</v>
      </c>
      <c r="B50" s="143" t="s">
        <v>484</v>
      </c>
      <c r="C50" s="304"/>
      <c r="D50" s="211"/>
      <c r="E50" s="211"/>
      <c r="F50" s="155"/>
      <c r="G50" s="212"/>
      <c r="H50" s="152"/>
      <c r="I50" s="155"/>
      <c r="J50" s="160"/>
      <c r="K50" s="160"/>
      <c r="L50" s="160"/>
      <c r="M50" s="160"/>
      <c r="N50" s="160"/>
      <c r="O50" s="160"/>
      <c r="P50" s="160"/>
      <c r="Q50" s="160"/>
      <c r="R50" s="16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50"/>
      <c r="AU50" s="150"/>
      <c r="AV50" s="270" t="s">
        <v>534</v>
      </c>
      <c r="AW50" s="150"/>
      <c r="AX50" s="150"/>
      <c r="AY50" s="151"/>
      <c r="AZ50" s="280"/>
      <c r="BA50" s="293"/>
      <c r="BB50" s="279"/>
    </row>
    <row r="51" spans="1:54" ht="12.75">
      <c r="A51" s="159"/>
      <c r="B51" s="173"/>
      <c r="C51" s="305">
        <v>611127627</v>
      </c>
      <c r="D51" s="302">
        <v>5796.1716</v>
      </c>
      <c r="E51" s="302">
        <v>5898.0488</v>
      </c>
      <c r="F51" s="155">
        <v>40</v>
      </c>
      <c r="G51" s="252">
        <f>E51-D51</f>
        <v>101.8771999999999</v>
      </c>
      <c r="H51" s="155"/>
      <c r="I51" s="155">
        <f>ROUND(F51*G51+H51,0)</f>
        <v>4075</v>
      </c>
      <c r="J51" s="160"/>
      <c r="K51" s="160"/>
      <c r="L51" s="160"/>
      <c r="M51" s="160"/>
      <c r="N51" s="160"/>
      <c r="O51" s="160"/>
      <c r="P51" s="160"/>
      <c r="Q51" s="160"/>
      <c r="R51" s="16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60"/>
      <c r="AU51" s="120"/>
      <c r="AV51" s="120"/>
      <c r="AW51" s="120"/>
      <c r="AX51" s="120"/>
      <c r="AY51" s="120"/>
      <c r="AZ51" s="120"/>
      <c r="BA51" s="120"/>
      <c r="BB51" s="120"/>
    </row>
    <row r="52" spans="1:54" ht="12.75">
      <c r="A52" s="159"/>
      <c r="B52" s="144" t="s">
        <v>467</v>
      </c>
      <c r="C52" s="305"/>
      <c r="D52" s="306"/>
      <c r="E52" s="306"/>
      <c r="F52" s="155"/>
      <c r="G52" s="212"/>
      <c r="H52" s="155"/>
      <c r="I52" s="155"/>
      <c r="J52" s="160"/>
      <c r="K52" s="160"/>
      <c r="L52" s="160"/>
      <c r="M52" s="160"/>
      <c r="N52" s="160"/>
      <c r="O52" s="160"/>
      <c r="P52" s="160"/>
      <c r="Q52" s="160"/>
      <c r="R52" s="16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60"/>
      <c r="AU52" s="120"/>
      <c r="AV52" s="120"/>
      <c r="AW52" s="120"/>
      <c r="AX52" s="120"/>
      <c r="AY52" s="120"/>
      <c r="AZ52" s="120"/>
      <c r="BA52" s="120"/>
      <c r="BB52" s="120"/>
    </row>
    <row r="53" spans="1:54" ht="12.75">
      <c r="A53" s="143" t="s">
        <v>251</v>
      </c>
      <c r="B53" s="161"/>
      <c r="C53" s="213">
        <v>810120245</v>
      </c>
      <c r="D53" s="302">
        <v>3652.8637</v>
      </c>
      <c r="E53" s="302">
        <v>3656.8401</v>
      </c>
      <c r="F53" s="155">
        <v>3600</v>
      </c>
      <c r="G53" s="252">
        <f>E53-D53</f>
        <v>3.9764000000000124</v>
      </c>
      <c r="H53" s="155"/>
      <c r="I53" s="155">
        <f>ROUND(F53*G53+H53,0)</f>
        <v>14315</v>
      </c>
      <c r="J53" s="160"/>
      <c r="K53" s="160"/>
      <c r="L53" s="160"/>
      <c r="M53" s="160"/>
      <c r="N53" s="160"/>
      <c r="O53" s="160"/>
      <c r="P53" s="160"/>
      <c r="Q53" s="160"/>
      <c r="R53" s="16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60" t="s">
        <v>570</v>
      </c>
      <c r="AU53" s="120"/>
      <c r="AV53" s="120"/>
      <c r="AW53" s="120"/>
      <c r="AX53" s="120"/>
      <c r="AY53" s="120"/>
      <c r="AZ53" s="120"/>
      <c r="BA53" s="120"/>
      <c r="BB53" s="120"/>
    </row>
    <row r="54" spans="1:54" ht="12.75">
      <c r="A54" s="173"/>
      <c r="B54" s="161" t="s">
        <v>494</v>
      </c>
      <c r="C54" s="213"/>
      <c r="D54" s="302"/>
      <c r="E54" s="302"/>
      <c r="F54" s="155"/>
      <c r="G54" s="252"/>
      <c r="H54" s="96"/>
      <c r="I54" s="155"/>
      <c r="J54" s="160"/>
      <c r="K54" s="160"/>
      <c r="L54" s="160"/>
      <c r="M54" s="160"/>
      <c r="N54" s="160"/>
      <c r="O54" s="160"/>
      <c r="P54" s="160"/>
      <c r="Q54" s="160"/>
      <c r="R54" s="16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60"/>
      <c r="AU54" s="120"/>
      <c r="AV54" s="120"/>
      <c r="AW54" s="120"/>
      <c r="AX54" s="120"/>
      <c r="AY54" s="120"/>
      <c r="AZ54" s="120"/>
      <c r="BA54" s="120"/>
      <c r="BB54" s="120"/>
    </row>
    <row r="55" spans="1:54" ht="12.75">
      <c r="A55" s="173"/>
      <c r="B55" s="161"/>
      <c r="C55" s="210">
        <v>4050284</v>
      </c>
      <c r="D55" s="230">
        <v>4116.1832</v>
      </c>
      <c r="E55" s="230">
        <v>4155.2958</v>
      </c>
      <c r="F55" s="155">
        <v>3600</v>
      </c>
      <c r="G55" s="253">
        <f>E55-D55</f>
        <v>39.112599999999475</v>
      </c>
      <c r="H55" s="96"/>
      <c r="I55" s="155">
        <f>ROUND(F55*G55+H55,0)</f>
        <v>140805</v>
      </c>
      <c r="J55" s="160"/>
      <c r="K55" s="160"/>
      <c r="L55" s="160"/>
      <c r="M55" s="160"/>
      <c r="N55" s="160"/>
      <c r="O55" s="160"/>
      <c r="P55" s="160"/>
      <c r="Q55" s="160"/>
      <c r="R55" s="16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60"/>
      <c r="AU55" s="120"/>
      <c r="AV55" s="120"/>
      <c r="AW55" s="120"/>
      <c r="AX55" s="120"/>
      <c r="AY55" s="120"/>
      <c r="AZ55" s="120"/>
      <c r="BA55" s="120"/>
      <c r="BB55" s="120"/>
    </row>
    <row r="56" spans="1:54" ht="12.75">
      <c r="A56" s="144"/>
      <c r="B56" s="149"/>
      <c r="C56" s="210"/>
      <c r="D56" s="230"/>
      <c r="E56" s="230"/>
      <c r="F56" s="155"/>
      <c r="G56" s="253"/>
      <c r="H56" s="96"/>
      <c r="I56" s="155"/>
      <c r="J56" s="160"/>
      <c r="K56" s="160"/>
      <c r="L56" s="160"/>
      <c r="M56" s="160"/>
      <c r="N56" s="160"/>
      <c r="O56" s="160"/>
      <c r="P56" s="160"/>
      <c r="Q56" s="160"/>
      <c r="R56" s="24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60"/>
      <c r="AU56" s="120"/>
      <c r="AV56" s="120"/>
      <c r="AW56" s="120"/>
      <c r="AX56" s="120"/>
      <c r="AY56" s="120"/>
      <c r="AZ56" s="120"/>
      <c r="BA56" s="120"/>
      <c r="BB56" s="120"/>
    </row>
    <row r="57" spans="1:54" ht="12.75">
      <c r="A57" s="173" t="s">
        <v>252</v>
      </c>
      <c r="B57" s="143" t="s">
        <v>218</v>
      </c>
      <c r="C57" s="152"/>
      <c r="D57" s="211"/>
      <c r="E57" s="211"/>
      <c r="F57" s="155"/>
      <c r="G57" s="212"/>
      <c r="H57" s="96"/>
      <c r="I57" s="155"/>
      <c r="J57" s="160"/>
      <c r="K57" s="120"/>
      <c r="L57" s="120"/>
      <c r="M57" s="120"/>
      <c r="N57" s="120"/>
      <c r="O57" s="120"/>
      <c r="P57" s="120"/>
      <c r="Q57" s="120"/>
      <c r="R57" s="241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60"/>
      <c r="AU57" s="120"/>
      <c r="AV57" s="120"/>
      <c r="AW57" s="120"/>
      <c r="AX57" s="120"/>
      <c r="AY57" s="120"/>
      <c r="AZ57" s="120"/>
      <c r="BA57" s="120"/>
      <c r="BB57" s="271"/>
    </row>
    <row r="58" spans="1:54" ht="12.75">
      <c r="A58" s="307"/>
      <c r="B58" s="173" t="s">
        <v>217</v>
      </c>
      <c r="C58" s="305">
        <v>611127492</v>
      </c>
      <c r="D58" s="302">
        <v>19642.6764</v>
      </c>
      <c r="E58" s="302">
        <v>19878.5688</v>
      </c>
      <c r="F58" s="155">
        <v>20</v>
      </c>
      <c r="G58" s="252">
        <f>E58-D58</f>
        <v>235.89240000000063</v>
      </c>
      <c r="H58" s="155"/>
      <c r="I58" s="155">
        <f>ROUND(F58*G58+H58,0)</f>
        <v>4718</v>
      </c>
      <c r="J58" s="16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60"/>
      <c r="AU58" s="120"/>
      <c r="AV58" s="120" t="s">
        <v>144</v>
      </c>
      <c r="AW58" s="120"/>
      <c r="AX58" s="120"/>
      <c r="AY58" s="120"/>
      <c r="AZ58" s="120"/>
      <c r="BA58" s="120"/>
      <c r="BB58" s="272">
        <f>BA9</f>
        <v>3.8056866892436827</v>
      </c>
    </row>
    <row r="59" spans="1:54" ht="12.75">
      <c r="A59" s="145" t="s">
        <v>253</v>
      </c>
      <c r="B59" s="143" t="s">
        <v>485</v>
      </c>
      <c r="C59" s="309"/>
      <c r="D59" s="211"/>
      <c r="E59" s="211"/>
      <c r="F59" s="155"/>
      <c r="G59" s="212"/>
      <c r="H59" s="96"/>
      <c r="I59" s="155"/>
      <c r="J59" s="160"/>
      <c r="K59" s="160"/>
      <c r="L59" s="160"/>
      <c r="M59" s="160"/>
      <c r="N59" s="160"/>
      <c r="O59" s="160"/>
      <c r="P59" s="160"/>
      <c r="Q59" s="160"/>
      <c r="R59" s="16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60"/>
      <c r="AU59" s="120"/>
      <c r="AV59" s="120"/>
      <c r="AW59" s="120"/>
      <c r="AX59" s="120"/>
      <c r="AY59" s="120"/>
      <c r="AZ59" s="120"/>
      <c r="BA59" s="120"/>
      <c r="BB59" s="120"/>
    </row>
    <row r="60" spans="1:54" ht="12.75">
      <c r="A60" s="308"/>
      <c r="B60" s="168" t="s">
        <v>546</v>
      </c>
      <c r="C60" s="305">
        <v>611127702</v>
      </c>
      <c r="D60" s="302">
        <v>31062.8316</v>
      </c>
      <c r="E60" s="302">
        <v>31128.136</v>
      </c>
      <c r="F60" s="155">
        <v>60</v>
      </c>
      <c r="G60" s="252">
        <f>E60-D60</f>
        <v>65.30439999999726</v>
      </c>
      <c r="H60" s="96"/>
      <c r="I60" s="155">
        <f>ROUND(F60*G60+H60,0)</f>
        <v>3918</v>
      </c>
      <c r="J60" s="160"/>
      <c r="K60" s="160"/>
      <c r="L60" s="160"/>
      <c r="M60" s="160"/>
      <c r="N60" s="160"/>
      <c r="O60" s="160"/>
      <c r="P60" s="160"/>
      <c r="Q60" s="160"/>
      <c r="R60" s="16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60"/>
      <c r="AU60" s="160"/>
      <c r="AV60" s="160"/>
      <c r="AW60" s="160"/>
      <c r="AX60" s="160"/>
      <c r="AY60" s="160"/>
      <c r="AZ60" s="160"/>
      <c r="BA60" s="160"/>
      <c r="BB60" s="160"/>
    </row>
    <row r="61" spans="1:54" ht="13.5">
      <c r="A61" s="159"/>
      <c r="B61" s="168" t="s">
        <v>547</v>
      </c>
      <c r="C61" s="305">
        <v>611127555</v>
      </c>
      <c r="D61" s="302">
        <v>7565.314</v>
      </c>
      <c r="E61" s="302">
        <v>7735.0508</v>
      </c>
      <c r="F61" s="155">
        <v>60</v>
      </c>
      <c r="G61" s="252">
        <f>E61-D61</f>
        <v>169.73679999999968</v>
      </c>
      <c r="H61" s="96"/>
      <c r="I61" s="155">
        <f>ROUND(F61*G61+H61,0)</f>
        <v>10184</v>
      </c>
      <c r="J61" s="160"/>
      <c r="K61" s="160"/>
      <c r="L61" s="160"/>
      <c r="M61" s="160"/>
      <c r="N61" s="160"/>
      <c r="O61" s="242"/>
      <c r="P61" s="243"/>
      <c r="Q61" s="160"/>
      <c r="R61" s="16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60"/>
      <c r="AU61" s="160"/>
      <c r="AV61" s="160"/>
      <c r="AW61" s="160"/>
      <c r="AX61" s="160"/>
      <c r="AY61" s="242"/>
      <c r="AZ61" s="243"/>
      <c r="BA61" s="160"/>
      <c r="BB61" s="160"/>
    </row>
    <row r="62" spans="1:54" ht="12.75">
      <c r="A62" s="145" t="s">
        <v>258</v>
      </c>
      <c r="B62" s="143" t="s">
        <v>486</v>
      </c>
      <c r="C62" s="310"/>
      <c r="D62" s="232"/>
      <c r="E62" s="232"/>
      <c r="F62" s="155"/>
      <c r="G62" s="212"/>
      <c r="H62" s="96"/>
      <c r="I62" s="155"/>
      <c r="J62" s="160"/>
      <c r="K62" s="160"/>
      <c r="L62" s="160"/>
      <c r="M62" s="160"/>
      <c r="N62" s="160"/>
      <c r="O62" s="160"/>
      <c r="P62" s="160"/>
      <c r="Q62" s="160"/>
      <c r="R62" s="16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60"/>
      <c r="AU62" s="160"/>
      <c r="AV62" s="160"/>
      <c r="AW62" s="160"/>
      <c r="AX62" s="160"/>
      <c r="AY62" s="160"/>
      <c r="AZ62" s="160"/>
      <c r="BA62" s="160"/>
      <c r="BB62" s="160"/>
    </row>
    <row r="63" spans="1:54" ht="12.75">
      <c r="A63" s="308"/>
      <c r="B63" s="173"/>
      <c r="C63" s="305">
        <v>1110171163</v>
      </c>
      <c r="D63" s="302">
        <v>642.196</v>
      </c>
      <c r="E63" s="302">
        <v>732.7688</v>
      </c>
      <c r="F63" s="155">
        <v>60</v>
      </c>
      <c r="G63" s="252">
        <f>E63-D63</f>
        <v>90.57280000000003</v>
      </c>
      <c r="H63" s="96"/>
      <c r="I63" s="155">
        <f>ROUND(F63*G63+H63,0)</f>
        <v>5434</v>
      </c>
      <c r="J63" s="243"/>
      <c r="K63" s="160"/>
      <c r="L63" s="160"/>
      <c r="M63" s="160"/>
      <c r="N63" s="160"/>
      <c r="O63" s="160"/>
      <c r="P63" s="189"/>
      <c r="Q63" s="160"/>
      <c r="R63" s="244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243"/>
      <c r="AU63" s="160"/>
      <c r="AV63" s="160"/>
      <c r="AW63" s="160"/>
      <c r="AX63" s="160"/>
      <c r="AY63" s="160"/>
      <c r="AZ63" s="189"/>
      <c r="BA63" s="160"/>
      <c r="BB63" s="244"/>
    </row>
    <row r="64" spans="1:54" ht="12.75">
      <c r="A64" s="159"/>
      <c r="B64" s="173"/>
      <c r="C64" s="305"/>
      <c r="D64" s="302"/>
      <c r="E64" s="302"/>
      <c r="F64" s="155"/>
      <c r="G64" s="252"/>
      <c r="H64" s="96"/>
      <c r="I64" s="155"/>
      <c r="J64" s="243"/>
      <c r="K64" s="160"/>
      <c r="L64" s="160"/>
      <c r="M64" s="160"/>
      <c r="N64" s="160"/>
      <c r="O64" s="160"/>
      <c r="P64" s="189"/>
      <c r="Q64" s="160"/>
      <c r="R64" s="244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243"/>
      <c r="AU64" s="160"/>
      <c r="AV64" s="160"/>
      <c r="AW64" s="160"/>
      <c r="AX64" s="160"/>
      <c r="AY64" s="160"/>
      <c r="AZ64" s="189"/>
      <c r="BA64" s="160"/>
      <c r="BB64" s="244"/>
    </row>
    <row r="65" spans="1:54" ht="12.75">
      <c r="A65" s="145" t="s">
        <v>260</v>
      </c>
      <c r="B65" s="143" t="s">
        <v>487</v>
      </c>
      <c r="C65" s="311"/>
      <c r="D65" s="232"/>
      <c r="E65" s="232"/>
      <c r="F65" s="155"/>
      <c r="G65" s="212"/>
      <c r="H65" s="96"/>
      <c r="I65" s="155"/>
      <c r="J65" s="243"/>
      <c r="K65" s="160"/>
      <c r="L65" s="160"/>
      <c r="M65" s="160"/>
      <c r="N65" s="160"/>
      <c r="O65" s="160"/>
      <c r="P65" s="189"/>
      <c r="Q65" s="160"/>
      <c r="R65" s="244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243"/>
      <c r="AU65" s="160"/>
      <c r="AV65" s="160"/>
      <c r="AW65" s="160"/>
      <c r="AX65" s="160"/>
      <c r="AY65" s="160"/>
      <c r="AZ65" s="189"/>
      <c r="BA65" s="160"/>
      <c r="BB65" s="244"/>
    </row>
    <row r="66" spans="1:54" ht="12.75">
      <c r="A66" s="159"/>
      <c r="B66" s="173"/>
      <c r="C66" s="305">
        <v>1110171170</v>
      </c>
      <c r="D66" s="302">
        <v>130.1276</v>
      </c>
      <c r="E66" s="302">
        <v>135.4436</v>
      </c>
      <c r="F66" s="155">
        <v>40</v>
      </c>
      <c r="G66" s="252">
        <f>E66-D66</f>
        <v>5.3160000000000025</v>
      </c>
      <c r="H66" s="155"/>
      <c r="I66" s="155">
        <f>ROUND(F66*G66+H66,0)</f>
        <v>213</v>
      </c>
      <c r="J66" s="243"/>
      <c r="K66" s="160"/>
      <c r="L66" s="160"/>
      <c r="M66" s="160"/>
      <c r="N66" s="160"/>
      <c r="O66" s="160"/>
      <c r="P66" s="189"/>
      <c r="Q66" s="160"/>
      <c r="R66" s="244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243"/>
      <c r="AU66" s="160"/>
      <c r="AV66" s="160"/>
      <c r="AW66" s="160"/>
      <c r="AX66" s="160"/>
      <c r="AY66" s="160"/>
      <c r="AZ66" s="189"/>
      <c r="BA66" s="160"/>
      <c r="BB66" s="244"/>
    </row>
    <row r="67" spans="1:54" ht="12.75">
      <c r="A67" s="159"/>
      <c r="B67" s="173"/>
      <c r="C67" s="305"/>
      <c r="D67" s="302"/>
      <c r="E67" s="302"/>
      <c r="F67" s="155"/>
      <c r="G67" s="252"/>
      <c r="H67" s="155"/>
      <c r="I67" s="155"/>
      <c r="J67" s="16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60"/>
      <c r="AU67" s="160"/>
      <c r="AV67" s="160"/>
      <c r="AW67" s="160"/>
      <c r="AX67" s="160"/>
      <c r="AY67" s="160"/>
      <c r="AZ67" s="160"/>
      <c r="BA67" s="160"/>
      <c r="BB67" s="160"/>
    </row>
    <row r="68" spans="1:54" ht="12.75">
      <c r="A68" s="145" t="s">
        <v>261</v>
      </c>
      <c r="B68" s="143" t="s">
        <v>550</v>
      </c>
      <c r="C68" s="305">
        <v>611126342</v>
      </c>
      <c r="D68" s="302">
        <v>25782.5391</v>
      </c>
      <c r="E68" s="302">
        <v>25782.5391</v>
      </c>
      <c r="F68" s="155">
        <v>1800</v>
      </c>
      <c r="G68" s="252">
        <f>E68-D68</f>
        <v>0</v>
      </c>
      <c r="H68" s="155"/>
      <c r="I68" s="155">
        <f>ROUND(F68*G68+H68,0)</f>
        <v>0</v>
      </c>
      <c r="J68" s="160"/>
      <c r="K68" s="160"/>
      <c r="L68" s="160"/>
      <c r="M68" s="160"/>
      <c r="N68" s="160"/>
      <c r="O68" s="160"/>
      <c r="P68" s="160"/>
      <c r="Q68" s="160"/>
      <c r="R68" s="16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60"/>
      <c r="AU68" s="160"/>
      <c r="AV68" s="160"/>
      <c r="AW68" s="160"/>
      <c r="AX68" s="160"/>
      <c r="AY68" s="160"/>
      <c r="AZ68" s="160"/>
      <c r="BA68" s="160"/>
      <c r="BB68" s="160"/>
    </row>
    <row r="69" spans="1:54" ht="13.5">
      <c r="A69" s="159"/>
      <c r="B69" s="173" t="s">
        <v>551</v>
      </c>
      <c r="C69" s="305">
        <v>611126404</v>
      </c>
      <c r="D69" s="302">
        <v>542.1074</v>
      </c>
      <c r="E69" s="302">
        <v>549.6431</v>
      </c>
      <c r="F69" s="155">
        <v>1800</v>
      </c>
      <c r="G69" s="252">
        <f>E69-D69</f>
        <v>7.53570000000002</v>
      </c>
      <c r="H69" s="155"/>
      <c r="I69" s="155">
        <f>ROUND((F69*G69+H69),0)</f>
        <v>13564</v>
      </c>
      <c r="J69" s="160"/>
      <c r="K69" s="160"/>
      <c r="L69" s="160"/>
      <c r="M69" s="160"/>
      <c r="N69" s="160"/>
      <c r="O69" s="242"/>
      <c r="P69" s="243"/>
      <c r="Q69" s="160"/>
      <c r="R69" s="16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60"/>
      <c r="AU69" s="160"/>
      <c r="AV69" s="160"/>
      <c r="AW69" s="160"/>
      <c r="AX69" s="160"/>
      <c r="AY69" s="242"/>
      <c r="AZ69" s="243"/>
      <c r="BA69" s="160"/>
      <c r="BB69" s="160"/>
    </row>
    <row r="70" spans="1:54" ht="12.75">
      <c r="A70" s="103"/>
      <c r="B70" s="144" t="s">
        <v>509</v>
      </c>
      <c r="C70" s="305">
        <v>611126334</v>
      </c>
      <c r="D70" s="302">
        <v>2.3724</v>
      </c>
      <c r="E70" s="302">
        <v>2.3724</v>
      </c>
      <c r="F70" s="155">
        <v>1800</v>
      </c>
      <c r="G70" s="252">
        <f>E70-D70</f>
        <v>0</v>
      </c>
      <c r="H70" s="96"/>
      <c r="I70" s="155">
        <f>ROUND(F70*G70+H70,0)</f>
        <v>0</v>
      </c>
      <c r="J70" s="160"/>
      <c r="K70" s="160"/>
      <c r="L70" s="160"/>
      <c r="M70" s="160"/>
      <c r="N70" s="160"/>
      <c r="O70" s="160"/>
      <c r="P70" s="160"/>
      <c r="Q70" s="160"/>
      <c r="R70" s="16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60"/>
      <c r="AU70" s="160"/>
      <c r="AV70" s="160"/>
      <c r="AW70" s="160"/>
      <c r="AX70" s="160"/>
      <c r="AY70" s="160"/>
      <c r="AZ70" s="160"/>
      <c r="BA70" s="160"/>
      <c r="BB70" s="160"/>
    </row>
    <row r="71" spans="1:54" ht="12.75">
      <c r="A71" s="159" t="s">
        <v>477</v>
      </c>
      <c r="B71" s="173" t="s">
        <v>488</v>
      </c>
      <c r="C71" s="305">
        <v>611127724</v>
      </c>
      <c r="D71" s="302">
        <v>1805.1788</v>
      </c>
      <c r="E71" s="302">
        <v>1824.8652</v>
      </c>
      <c r="F71" s="155">
        <v>30</v>
      </c>
      <c r="G71" s="252">
        <f>E71-D71</f>
        <v>19.68640000000005</v>
      </c>
      <c r="H71" s="155"/>
      <c r="I71" s="155">
        <f>ROUND(F71*G71+H71,0)</f>
        <v>591</v>
      </c>
      <c r="J71" s="243"/>
      <c r="K71" s="160"/>
      <c r="L71" s="160"/>
      <c r="M71" s="160"/>
      <c r="N71" s="160"/>
      <c r="O71" s="160"/>
      <c r="P71" s="189"/>
      <c r="Q71" s="160"/>
      <c r="R71" s="244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243"/>
      <c r="AU71" s="160"/>
      <c r="AV71" s="160"/>
      <c r="AW71" s="160"/>
      <c r="AX71" s="160"/>
      <c r="AY71" s="160"/>
      <c r="AZ71" s="189"/>
      <c r="BA71" s="160"/>
      <c r="BB71" s="244"/>
    </row>
    <row r="72" spans="1:54" ht="12.75">
      <c r="A72" s="103"/>
      <c r="B72" s="173" t="s">
        <v>542</v>
      </c>
      <c r="C72" s="305"/>
      <c r="D72" s="306"/>
      <c r="E72" s="306"/>
      <c r="F72" s="155"/>
      <c r="G72" s="212"/>
      <c r="H72" s="155"/>
      <c r="I72" s="155"/>
      <c r="J72" s="243"/>
      <c r="K72" s="160"/>
      <c r="L72" s="160"/>
      <c r="M72" s="160"/>
      <c r="N72" s="160"/>
      <c r="O72" s="160"/>
      <c r="P72" s="189"/>
      <c r="Q72" s="160"/>
      <c r="R72" s="244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243"/>
      <c r="AU72" s="160"/>
      <c r="AV72" s="160"/>
      <c r="AW72" s="160"/>
      <c r="AX72" s="160"/>
      <c r="AY72" s="160"/>
      <c r="AZ72" s="189"/>
      <c r="BA72" s="160"/>
      <c r="BB72" s="244"/>
    </row>
    <row r="73" spans="1:54" ht="12.75">
      <c r="A73" s="96"/>
      <c r="B73" s="312"/>
      <c r="C73" s="171"/>
      <c r="D73" s="212"/>
      <c r="E73" s="212"/>
      <c r="F73" s="155"/>
      <c r="G73" s="212"/>
      <c r="H73" s="155"/>
      <c r="I73" s="155"/>
      <c r="J73" s="243"/>
      <c r="K73" s="160"/>
      <c r="L73" s="160"/>
      <c r="M73" s="160"/>
      <c r="N73" s="160"/>
      <c r="O73" s="160"/>
      <c r="P73" s="189"/>
      <c r="Q73" s="160"/>
      <c r="R73" s="244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243"/>
      <c r="AU73" s="160"/>
      <c r="AV73" s="160"/>
      <c r="AW73" s="160"/>
      <c r="AX73" s="160"/>
      <c r="AY73" s="160"/>
      <c r="AZ73" s="189"/>
      <c r="BA73" s="160"/>
      <c r="BB73" s="244"/>
    </row>
    <row r="74" spans="1:54" ht="12.75">
      <c r="A74" s="103"/>
      <c r="B74" s="148"/>
      <c r="C74" s="150"/>
      <c r="D74" s="150"/>
      <c r="E74" s="150"/>
      <c r="F74" s="150" t="s">
        <v>264</v>
      </c>
      <c r="G74" s="150"/>
      <c r="H74" s="151"/>
      <c r="I74" s="235">
        <f>ROUND((SUM(I50:I69)-I73),0)</f>
        <v>197226</v>
      </c>
      <c r="J74" s="243"/>
      <c r="K74" s="160"/>
      <c r="L74" s="160"/>
      <c r="M74" s="160"/>
      <c r="N74" s="160"/>
      <c r="O74" s="160"/>
      <c r="P74" s="189"/>
      <c r="Q74" s="160"/>
      <c r="R74" s="244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243"/>
      <c r="AU74" s="160"/>
      <c r="AV74" s="160"/>
      <c r="AW74" s="160"/>
      <c r="AX74" s="160"/>
      <c r="AY74" s="160"/>
      <c r="AZ74" s="189"/>
      <c r="BA74" s="160"/>
      <c r="BB74" s="244"/>
    </row>
    <row r="75" spans="1:54" ht="12.75">
      <c r="A75" s="102"/>
      <c r="B75" s="150"/>
      <c r="C75" s="150"/>
      <c r="D75" s="150"/>
      <c r="E75" s="150"/>
      <c r="F75" s="150"/>
      <c r="G75" s="150" t="s">
        <v>265</v>
      </c>
      <c r="H75" s="151"/>
      <c r="I75" s="235">
        <f>ROUND((I18+I20-I47-I74),0)</f>
        <v>6362466</v>
      </c>
      <c r="J75" s="160"/>
      <c r="K75" s="160">
        <f>I18+I20+I22-I47-I74</f>
        <v>6437727</v>
      </c>
      <c r="L75" s="160"/>
      <c r="M75" s="160"/>
      <c r="N75" s="160"/>
      <c r="O75" s="160"/>
      <c r="P75" s="190"/>
      <c r="Q75" s="160"/>
      <c r="R75" s="24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60"/>
      <c r="AU75" s="160"/>
      <c r="AV75" s="160"/>
      <c r="AW75" s="160"/>
      <c r="AX75" s="160"/>
      <c r="AY75" s="160"/>
      <c r="AZ75" s="190"/>
      <c r="BA75" s="160"/>
      <c r="BB75" s="240"/>
    </row>
    <row r="76" spans="1:54" ht="12.75">
      <c r="A76" s="96" t="s">
        <v>272</v>
      </c>
      <c r="B76" s="102" t="s">
        <v>266</v>
      </c>
      <c r="C76" s="150"/>
      <c r="D76" s="150"/>
      <c r="E76" s="150"/>
      <c r="F76" s="150"/>
      <c r="G76" s="150"/>
      <c r="H76" s="150"/>
      <c r="I76" s="151"/>
      <c r="J76" s="160"/>
      <c r="K76" s="160"/>
      <c r="L76" s="160"/>
      <c r="M76" s="160"/>
      <c r="N76" s="160"/>
      <c r="O76" s="160"/>
      <c r="P76" s="190"/>
      <c r="Q76" s="160"/>
      <c r="R76" s="24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60"/>
      <c r="AU76" s="160"/>
      <c r="AV76" s="160"/>
      <c r="AW76" s="160"/>
      <c r="AX76" s="160"/>
      <c r="AY76" s="160"/>
      <c r="AZ76" s="190"/>
      <c r="BA76" s="160"/>
      <c r="BB76" s="240"/>
    </row>
    <row r="77" spans="1:54" ht="12.75">
      <c r="A77" s="143" t="s">
        <v>270</v>
      </c>
      <c r="B77" s="143" t="s">
        <v>267</v>
      </c>
      <c r="C77" s="171">
        <v>18705639</v>
      </c>
      <c r="D77" s="234">
        <v>18465</v>
      </c>
      <c r="E77" s="234">
        <v>18656</v>
      </c>
      <c r="F77" s="175">
        <v>30</v>
      </c>
      <c r="G77" s="322">
        <f>E77-D77</f>
        <v>191</v>
      </c>
      <c r="H77" s="143">
        <v>1261</v>
      </c>
      <c r="I77" s="175">
        <f>F77*G77+H77</f>
        <v>6991</v>
      </c>
      <c r="J77" s="160"/>
      <c r="K77" s="160"/>
      <c r="L77" s="160"/>
      <c r="M77" s="160"/>
      <c r="N77" s="160"/>
      <c r="O77" s="160"/>
      <c r="P77" s="190"/>
      <c r="Q77" s="160"/>
      <c r="R77" s="24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60"/>
      <c r="AU77" s="160"/>
      <c r="AV77" s="160"/>
      <c r="AW77" s="160"/>
      <c r="AX77" s="160"/>
      <c r="AY77" s="160"/>
      <c r="AZ77" s="190"/>
      <c r="BA77" s="160"/>
      <c r="BB77" s="240"/>
    </row>
    <row r="78" spans="1:54" ht="12.75">
      <c r="A78" s="144"/>
      <c r="B78" s="144" t="s">
        <v>268</v>
      </c>
      <c r="C78" s="169"/>
      <c r="D78" s="144"/>
      <c r="E78" s="144"/>
      <c r="F78" s="164"/>
      <c r="G78" s="144"/>
      <c r="H78" s="144"/>
      <c r="I78" s="144"/>
      <c r="J78" s="160"/>
      <c r="K78" s="160"/>
      <c r="L78" s="160"/>
      <c r="M78" s="160"/>
      <c r="N78" s="160"/>
      <c r="O78" s="160"/>
      <c r="P78" s="190"/>
      <c r="Q78" s="160"/>
      <c r="R78" s="24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60"/>
      <c r="AU78" s="160"/>
      <c r="AV78" s="160"/>
      <c r="AW78" s="160"/>
      <c r="AX78" s="160"/>
      <c r="AY78" s="160"/>
      <c r="AZ78" s="190"/>
      <c r="BA78" s="160"/>
      <c r="BB78" s="240"/>
    </row>
    <row r="79" spans="1:54" ht="12.75">
      <c r="A79" s="143" t="s">
        <v>271</v>
      </c>
      <c r="B79" s="143" t="s">
        <v>269</v>
      </c>
      <c r="C79" s="171">
        <v>18705843</v>
      </c>
      <c r="D79" s="234">
        <v>1070.8</v>
      </c>
      <c r="E79" s="234">
        <v>1070.8</v>
      </c>
      <c r="F79" s="175">
        <v>30</v>
      </c>
      <c r="G79" s="233">
        <f>E79-D79</f>
        <v>0</v>
      </c>
      <c r="H79" s="143">
        <v>0</v>
      </c>
      <c r="I79" s="175">
        <f>F79*G79+H79</f>
        <v>0</v>
      </c>
      <c r="J79" s="160"/>
      <c r="K79" s="160"/>
      <c r="L79" s="160"/>
      <c r="M79" s="160"/>
      <c r="N79" s="160"/>
      <c r="O79" s="160"/>
      <c r="P79" s="190"/>
      <c r="Q79" s="160"/>
      <c r="R79" s="24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60"/>
      <c r="AU79" s="160"/>
      <c r="AV79" s="160"/>
      <c r="AW79" s="160"/>
      <c r="AX79" s="160"/>
      <c r="AY79" s="160"/>
      <c r="AZ79" s="190"/>
      <c r="BA79" s="160"/>
      <c r="BB79" s="240"/>
    </row>
    <row r="80" spans="1:54" ht="12.75">
      <c r="A80" s="144"/>
      <c r="B80" s="144" t="s">
        <v>268</v>
      </c>
      <c r="C80" s="169"/>
      <c r="D80" s="144"/>
      <c r="E80" s="144"/>
      <c r="F80" s="164"/>
      <c r="G80" s="144"/>
      <c r="H80" s="144"/>
      <c r="I80" s="144"/>
      <c r="J80" s="160"/>
      <c r="K80" s="160"/>
      <c r="L80" s="160"/>
      <c r="M80" s="160"/>
      <c r="N80" s="160"/>
      <c r="O80" s="160"/>
      <c r="P80" s="190"/>
      <c r="Q80" s="160"/>
      <c r="R80" s="24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60"/>
      <c r="AU80" s="160"/>
      <c r="AV80" s="160"/>
      <c r="AW80" s="160"/>
      <c r="AX80" s="160"/>
      <c r="AY80" s="160"/>
      <c r="AZ80" s="190"/>
      <c r="BA80" s="160"/>
      <c r="BB80" s="240"/>
    </row>
    <row r="81" spans="1:54" ht="12.75">
      <c r="A81" s="102"/>
      <c r="B81" s="150"/>
      <c r="C81" s="217"/>
      <c r="D81" s="199"/>
      <c r="E81" s="218"/>
      <c r="F81" s="218" t="s">
        <v>273</v>
      </c>
      <c r="G81" s="219"/>
      <c r="H81" s="151"/>
      <c r="I81" s="155">
        <f>I77+I79</f>
        <v>6991</v>
      </c>
      <c r="J81" s="243"/>
      <c r="K81" s="160"/>
      <c r="L81" s="160"/>
      <c r="M81" s="160"/>
      <c r="N81" s="160"/>
      <c r="O81" s="160"/>
      <c r="P81" s="189"/>
      <c r="Q81" s="160"/>
      <c r="R81" s="244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243"/>
      <c r="AU81" s="160"/>
      <c r="AV81" s="160"/>
      <c r="AW81" s="160"/>
      <c r="AX81" s="160"/>
      <c r="AY81" s="160"/>
      <c r="AZ81" s="189"/>
      <c r="BA81" s="160"/>
      <c r="BB81" s="244"/>
    </row>
    <row r="82" spans="1:54" ht="12.75">
      <c r="A82" s="102"/>
      <c r="B82" s="150"/>
      <c r="C82" s="217"/>
      <c r="D82" s="199"/>
      <c r="E82" s="218"/>
      <c r="F82" s="218"/>
      <c r="G82" s="219" t="s">
        <v>274</v>
      </c>
      <c r="H82" s="151"/>
      <c r="I82" s="235">
        <f>I75+I81</f>
        <v>6369457</v>
      </c>
      <c r="J82" s="160"/>
      <c r="K82" s="160"/>
      <c r="L82" s="160"/>
      <c r="M82" s="160"/>
      <c r="N82" s="160"/>
      <c r="O82" s="160"/>
      <c r="P82" s="190"/>
      <c r="Q82" s="160"/>
      <c r="R82" s="24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60"/>
      <c r="AU82" s="160"/>
      <c r="AV82" s="160"/>
      <c r="AW82" s="160"/>
      <c r="AX82" s="160"/>
      <c r="AY82" s="160"/>
      <c r="AZ82" s="190"/>
      <c r="BA82" s="160"/>
      <c r="BB82" s="240"/>
    </row>
    <row r="83" spans="1:54" ht="12.75">
      <c r="A83" s="145" t="s">
        <v>275</v>
      </c>
      <c r="B83" s="146"/>
      <c r="C83" s="220"/>
      <c r="D83" s="202"/>
      <c r="E83" s="221"/>
      <c r="F83" s="221"/>
      <c r="G83" s="204"/>
      <c r="H83" s="146"/>
      <c r="I83" s="205"/>
      <c r="J83" s="160"/>
      <c r="K83" s="160"/>
      <c r="L83" s="160"/>
      <c r="M83" s="160"/>
      <c r="N83" s="160"/>
      <c r="O83" s="160"/>
      <c r="P83" s="190"/>
      <c r="Q83" s="160"/>
      <c r="R83" s="24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60"/>
      <c r="AU83" s="160"/>
      <c r="AV83" s="160"/>
      <c r="AW83" s="160"/>
      <c r="AX83" s="160"/>
      <c r="AY83" s="160"/>
      <c r="AZ83" s="190"/>
      <c r="BA83" s="160"/>
      <c r="BB83" s="240"/>
    </row>
    <row r="84" spans="1:54" ht="12.75">
      <c r="A84" s="222" t="s">
        <v>538</v>
      </c>
      <c r="B84" s="223"/>
      <c r="C84" s="223"/>
      <c r="D84" s="191"/>
      <c r="E84" s="148"/>
      <c r="F84" s="148"/>
      <c r="G84" s="148"/>
      <c r="H84" s="148"/>
      <c r="I84" s="209"/>
      <c r="J84" s="160"/>
      <c r="K84" s="160"/>
      <c r="L84" s="160"/>
      <c r="M84" s="160"/>
      <c r="N84" s="160"/>
      <c r="O84" s="160"/>
      <c r="P84" s="190"/>
      <c r="Q84" s="160"/>
      <c r="R84" s="24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60"/>
      <c r="AU84" s="160"/>
      <c r="AV84" s="160"/>
      <c r="AW84" s="160"/>
      <c r="AX84" s="160"/>
      <c r="AY84" s="160"/>
      <c r="AZ84" s="190"/>
      <c r="BA84" s="160"/>
      <c r="BB84" s="240"/>
    </row>
    <row r="85" spans="1:54" ht="12.75">
      <c r="A85" s="160" t="s">
        <v>279</v>
      </c>
      <c r="B85" s="160"/>
      <c r="C85" s="264"/>
      <c r="D85" s="181"/>
      <c r="E85" s="265"/>
      <c r="F85" s="265"/>
      <c r="G85" s="188"/>
      <c r="H85" s="160"/>
      <c r="I85" s="190"/>
      <c r="J85" s="160"/>
      <c r="K85" s="160"/>
      <c r="L85" s="160"/>
      <c r="M85" s="160"/>
      <c r="N85" s="160"/>
      <c r="O85" s="160"/>
      <c r="P85" s="190"/>
      <c r="Q85" s="160"/>
      <c r="R85" s="24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60"/>
      <c r="AU85" s="160"/>
      <c r="AV85" s="160"/>
      <c r="AW85" s="160"/>
      <c r="AX85" s="160"/>
      <c r="AY85" s="160"/>
      <c r="AZ85" s="190"/>
      <c r="BA85" s="160"/>
      <c r="BB85" s="240"/>
    </row>
    <row r="86" spans="1:54" ht="12.75">
      <c r="A86" s="160"/>
      <c r="B86" s="160"/>
      <c r="C86" s="181"/>
      <c r="D86" s="313" t="s">
        <v>280</v>
      </c>
      <c r="E86" s="313"/>
      <c r="F86" s="314"/>
      <c r="G86" s="243"/>
      <c r="H86" s="243"/>
      <c r="I86" s="189"/>
      <c r="J86" s="160"/>
      <c r="K86" s="160"/>
      <c r="L86" s="188"/>
      <c r="M86" s="188"/>
      <c r="N86" s="160"/>
      <c r="O86" s="160"/>
      <c r="P86" s="190"/>
      <c r="Q86" s="160"/>
      <c r="R86" s="24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60"/>
      <c r="AU86" s="160"/>
      <c r="AV86" s="188"/>
      <c r="AW86" s="188"/>
      <c r="AX86" s="160"/>
      <c r="AY86" s="160"/>
      <c r="AZ86" s="190"/>
      <c r="BA86" s="160"/>
      <c r="BB86" s="240"/>
    </row>
    <row r="87" spans="1:54" ht="12.75">
      <c r="A87" s="160"/>
      <c r="B87" s="160"/>
      <c r="C87" s="181"/>
      <c r="D87" s="313" t="s">
        <v>531</v>
      </c>
      <c r="E87" s="313"/>
      <c r="F87" s="314"/>
      <c r="G87" s="243"/>
      <c r="H87" s="243"/>
      <c r="I87" s="189"/>
      <c r="J87" s="243"/>
      <c r="K87" s="160"/>
      <c r="L87" s="160"/>
      <c r="M87" s="160"/>
      <c r="N87" s="160"/>
      <c r="O87" s="160"/>
      <c r="P87" s="189"/>
      <c r="Q87" s="160"/>
      <c r="R87" s="244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243"/>
      <c r="AU87" s="160"/>
      <c r="AV87" s="160"/>
      <c r="AW87" s="160"/>
      <c r="AX87" s="160"/>
      <c r="AY87" s="160"/>
      <c r="AZ87" s="189"/>
      <c r="BA87" s="160"/>
      <c r="BB87" s="244"/>
    </row>
    <row r="88" spans="1:54" ht="12.75">
      <c r="A88" s="160"/>
      <c r="B88" s="160"/>
      <c r="C88" s="264"/>
      <c r="D88" s="313" t="s">
        <v>539</v>
      </c>
      <c r="E88" s="313"/>
      <c r="F88" s="314"/>
      <c r="G88" s="243"/>
      <c r="H88" s="243"/>
      <c r="I88" s="189"/>
      <c r="J88" s="160"/>
      <c r="K88" s="160"/>
      <c r="L88" s="160"/>
      <c r="M88" s="160"/>
      <c r="N88" s="160"/>
      <c r="O88" s="160"/>
      <c r="P88" s="190"/>
      <c r="Q88" s="160"/>
      <c r="R88" s="24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60"/>
      <c r="AU88" s="160"/>
      <c r="AV88" s="160"/>
      <c r="AW88" s="160"/>
      <c r="AX88" s="160"/>
      <c r="AY88" s="160"/>
      <c r="AZ88" s="190"/>
      <c r="BA88" s="160"/>
      <c r="BB88" s="240"/>
    </row>
    <row r="89" spans="1:54" ht="12.75">
      <c r="A89" s="120"/>
      <c r="B89" s="120"/>
      <c r="C89" s="120"/>
      <c r="D89" s="120" t="s">
        <v>192</v>
      </c>
      <c r="E89" s="120"/>
      <c r="F89" s="120"/>
      <c r="G89" s="120"/>
      <c r="H89" s="120"/>
      <c r="I89" s="120"/>
      <c r="J89" s="160"/>
      <c r="K89" s="160"/>
      <c r="L89" s="160"/>
      <c r="M89" s="160"/>
      <c r="N89" s="160"/>
      <c r="O89" s="160"/>
      <c r="P89" s="190"/>
      <c r="Q89" s="160"/>
      <c r="R89" s="24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60" t="s">
        <v>530</v>
      </c>
      <c r="AU89" s="120"/>
      <c r="AV89" s="120"/>
      <c r="AW89" s="120"/>
      <c r="AX89" s="120"/>
      <c r="AY89" s="120"/>
      <c r="AZ89" s="120"/>
      <c r="BA89" s="120"/>
      <c r="BB89" s="120"/>
    </row>
    <row r="90" spans="1:54" ht="12.75">
      <c r="A90" s="120"/>
      <c r="B90" s="120"/>
      <c r="C90" s="120"/>
      <c r="D90" s="120" t="s">
        <v>193</v>
      </c>
      <c r="E90" s="120"/>
      <c r="F90" s="120"/>
      <c r="G90" s="120"/>
      <c r="H90" s="120"/>
      <c r="I90" s="120"/>
      <c r="J90" s="243"/>
      <c r="K90" s="160"/>
      <c r="L90" s="160"/>
      <c r="M90" s="160"/>
      <c r="N90" s="160"/>
      <c r="O90" s="160"/>
      <c r="P90" s="189"/>
      <c r="Q90" s="160"/>
      <c r="R90" s="244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60" t="s">
        <v>535</v>
      </c>
      <c r="AU90" s="120"/>
      <c r="AV90" s="120"/>
      <c r="AW90" s="120"/>
      <c r="AX90" s="120"/>
      <c r="AY90" s="120"/>
      <c r="AZ90" s="120"/>
      <c r="BA90" s="120"/>
      <c r="BB90" s="120"/>
    </row>
    <row r="91" spans="1:54" ht="13.5">
      <c r="A91" s="120"/>
      <c r="B91" s="120"/>
      <c r="C91" s="120"/>
      <c r="D91" s="120"/>
      <c r="E91" s="120"/>
      <c r="F91" s="120"/>
      <c r="G91" s="120"/>
      <c r="H91" s="120"/>
      <c r="I91" s="120"/>
      <c r="J91" s="243"/>
      <c r="K91" s="160"/>
      <c r="L91" s="160"/>
      <c r="M91" s="160"/>
      <c r="N91" s="160"/>
      <c r="O91" s="160"/>
      <c r="P91" s="189"/>
      <c r="Q91" s="160"/>
      <c r="R91" s="244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60"/>
      <c r="AU91" s="120" t="s">
        <v>4</v>
      </c>
      <c r="AV91" s="120"/>
      <c r="AW91" s="120"/>
      <c r="AX91" s="120"/>
      <c r="AY91" s="254" t="s">
        <v>71</v>
      </c>
      <c r="AZ91" s="196" t="s">
        <v>557</v>
      </c>
      <c r="BA91" s="120"/>
      <c r="BB91" s="120"/>
    </row>
    <row r="92" spans="1:54" ht="12.75">
      <c r="A92" s="120"/>
      <c r="B92" s="120"/>
      <c r="C92" s="120" t="s">
        <v>194</v>
      </c>
      <c r="D92" s="120"/>
      <c r="E92" s="120"/>
      <c r="F92" s="120"/>
      <c r="G92" s="120"/>
      <c r="H92" s="120"/>
      <c r="I92" s="120"/>
      <c r="J92" s="243"/>
      <c r="K92" s="160"/>
      <c r="L92" s="160"/>
      <c r="M92" s="160"/>
      <c r="N92" s="160"/>
      <c r="O92" s="160"/>
      <c r="P92" s="189"/>
      <c r="Q92" s="160"/>
      <c r="R92" s="244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50" t="s">
        <v>108</v>
      </c>
      <c r="AU92" s="150"/>
      <c r="AV92" s="150"/>
      <c r="AW92" s="150"/>
      <c r="AX92" s="150"/>
      <c r="AY92" s="151"/>
      <c r="AZ92" s="96" t="s">
        <v>175</v>
      </c>
      <c r="BA92" s="96"/>
      <c r="BB92" s="96" t="s">
        <v>109</v>
      </c>
    </row>
    <row r="93" spans="1:54" ht="12.75">
      <c r="A93" s="120"/>
      <c r="B93" s="120"/>
      <c r="C93" s="120"/>
      <c r="D93" s="277" t="s">
        <v>568</v>
      </c>
      <c r="E93" s="277"/>
      <c r="F93" s="120"/>
      <c r="G93" s="120"/>
      <c r="H93" s="120"/>
      <c r="I93" s="120"/>
      <c r="J93" s="243"/>
      <c r="K93" s="160"/>
      <c r="L93" s="160"/>
      <c r="M93" s="160"/>
      <c r="N93" s="160"/>
      <c r="O93" s="160"/>
      <c r="P93" s="189"/>
      <c r="Q93" s="160"/>
      <c r="R93" s="244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273" t="s">
        <v>301</v>
      </c>
      <c r="AU93" s="150"/>
      <c r="AV93" s="150"/>
      <c r="AW93" s="150"/>
      <c r="AX93" s="150"/>
      <c r="AY93" s="151"/>
      <c r="AZ93" s="235">
        <v>55066</v>
      </c>
      <c r="BA93" s="199"/>
      <c r="BB93" s="299">
        <f>AZ93*BB58</f>
        <v>209563.94322989264</v>
      </c>
    </row>
    <row r="94" spans="1:54" ht="12.75">
      <c r="A94" s="120" t="s">
        <v>528</v>
      </c>
      <c r="B94" s="120"/>
      <c r="C94" s="120"/>
      <c r="D94" s="120"/>
      <c r="E94" s="120"/>
      <c r="F94" s="120"/>
      <c r="G94" s="120"/>
      <c r="H94" s="120"/>
      <c r="I94" s="120"/>
      <c r="J94" s="243"/>
      <c r="K94" s="160"/>
      <c r="L94" s="160"/>
      <c r="M94" s="160"/>
      <c r="N94" s="160"/>
      <c r="O94" s="160"/>
      <c r="P94" s="189"/>
      <c r="Q94" s="160"/>
      <c r="R94" s="244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273" t="s">
        <v>300</v>
      </c>
      <c r="AU94" s="150"/>
      <c r="AV94" s="150"/>
      <c r="AW94" s="150"/>
      <c r="AX94" s="150"/>
      <c r="AY94" s="151"/>
      <c r="AZ94" s="235">
        <f>AZ131-SUM(AZ112:AZ120)-AZ109-AZ103-AZ96-AZ95-AZ93</f>
        <v>5048235</v>
      </c>
      <c r="BA94" s="199"/>
      <c r="BB94" s="299">
        <f>AZ94*BB58</f>
        <v>19212000.74367408</v>
      </c>
    </row>
    <row r="95" spans="1:54" ht="12.75">
      <c r="A95" s="120" t="s">
        <v>196</v>
      </c>
      <c r="B95" s="120"/>
      <c r="C95" s="120"/>
      <c r="D95" s="120"/>
      <c r="E95" s="120"/>
      <c r="F95" s="120"/>
      <c r="G95" s="120"/>
      <c r="H95" s="120"/>
      <c r="I95" s="120"/>
      <c r="J95" s="243"/>
      <c r="K95" s="243"/>
      <c r="L95" s="160"/>
      <c r="M95" s="160"/>
      <c r="N95" s="160"/>
      <c r="O95" s="160"/>
      <c r="P95" s="189"/>
      <c r="Q95" s="160"/>
      <c r="R95" s="244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273" t="s">
        <v>537</v>
      </c>
      <c r="AU95" s="150"/>
      <c r="AV95" s="150"/>
      <c r="AW95" s="150"/>
      <c r="AX95" s="150"/>
      <c r="AY95" s="151"/>
      <c r="AZ95" s="235">
        <v>145867</v>
      </c>
      <c r="BA95" s="199"/>
      <c r="BB95" s="299">
        <f>AZ95*BB58</f>
        <v>555124.1002999083</v>
      </c>
    </row>
    <row r="96" spans="1:54" ht="12.75">
      <c r="A96" s="120" t="s">
        <v>198</v>
      </c>
      <c r="B96" s="120"/>
      <c r="C96" s="120"/>
      <c r="D96" s="120"/>
      <c r="E96" s="120"/>
      <c r="F96" s="120" t="s">
        <v>197</v>
      </c>
      <c r="G96" s="120"/>
      <c r="H96" s="120"/>
      <c r="I96" s="120"/>
      <c r="J96" s="243"/>
      <c r="K96" s="243"/>
      <c r="L96" s="160"/>
      <c r="M96" s="160"/>
      <c r="N96" s="160"/>
      <c r="O96" s="160"/>
      <c r="P96" s="189"/>
      <c r="Q96" s="160"/>
      <c r="R96" s="244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255" t="s">
        <v>85</v>
      </c>
      <c r="AU96" s="146"/>
      <c r="AV96" s="146"/>
      <c r="AW96" s="146"/>
      <c r="AX96" s="146"/>
      <c r="AY96" s="147"/>
      <c r="AZ96" s="300">
        <f>SUM(AZ97:AZ102)</f>
        <v>898939</v>
      </c>
      <c r="BA96" s="202"/>
      <c r="BB96" s="299">
        <f>AZ96*BB58</f>
        <v>3421080.186742027</v>
      </c>
    </row>
    <row r="97" spans="1:54" ht="12.75">
      <c r="A97" s="143" t="s">
        <v>335</v>
      </c>
      <c r="B97" s="171" t="s">
        <v>199</v>
      </c>
      <c r="C97" s="143" t="s">
        <v>200</v>
      </c>
      <c r="D97" s="224" t="s">
        <v>286</v>
      </c>
      <c r="E97" s="225"/>
      <c r="F97" s="143" t="s">
        <v>201</v>
      </c>
      <c r="G97" s="143" t="s">
        <v>404</v>
      </c>
      <c r="H97" s="143" t="s">
        <v>202</v>
      </c>
      <c r="I97" s="143" t="s">
        <v>191</v>
      </c>
      <c r="J97" s="243"/>
      <c r="K97" s="243"/>
      <c r="L97" s="160"/>
      <c r="M97" s="160"/>
      <c r="N97" s="160"/>
      <c r="O97" s="160"/>
      <c r="P97" s="189"/>
      <c r="Q97" s="160"/>
      <c r="R97" s="244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59" t="s">
        <v>87</v>
      </c>
      <c r="AU97" s="160"/>
      <c r="AV97" s="160"/>
      <c r="AW97" s="160"/>
      <c r="AX97" s="160"/>
      <c r="AY97" s="161"/>
      <c r="AZ97" s="163">
        <v>326234</v>
      </c>
      <c r="BA97" s="181"/>
      <c r="BB97" s="299">
        <f>AZ97*BB58</f>
        <v>1241544.3913787236</v>
      </c>
    </row>
    <row r="98" spans="1:54" ht="12.75">
      <c r="A98" s="173"/>
      <c r="B98" s="173"/>
      <c r="C98" s="173"/>
      <c r="D98" s="143" t="s">
        <v>203</v>
      </c>
      <c r="E98" s="145" t="s">
        <v>204</v>
      </c>
      <c r="F98" s="173" t="s">
        <v>205</v>
      </c>
      <c r="G98" s="173" t="s">
        <v>190</v>
      </c>
      <c r="H98" s="173"/>
      <c r="I98" s="173" t="s">
        <v>206</v>
      </c>
      <c r="J98" s="243"/>
      <c r="K98" s="243"/>
      <c r="L98" s="160"/>
      <c r="M98" s="160"/>
      <c r="N98" s="160"/>
      <c r="O98" s="160"/>
      <c r="P98" s="189"/>
      <c r="Q98" s="160"/>
      <c r="R98" s="244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59" t="s">
        <v>88</v>
      </c>
      <c r="AU98" s="160"/>
      <c r="AV98" s="160"/>
      <c r="AW98" s="160"/>
      <c r="AX98" s="160"/>
      <c r="AY98" s="161"/>
      <c r="AZ98" s="163">
        <v>436335</v>
      </c>
      <c r="BA98" s="181"/>
      <c r="BB98" s="299">
        <f>AZ98*BB58</f>
        <v>1660554.3015511422</v>
      </c>
    </row>
    <row r="99" spans="1:54" ht="12.75">
      <c r="A99" s="144"/>
      <c r="B99" s="144"/>
      <c r="C99" s="144"/>
      <c r="D99" s="144" t="s">
        <v>207</v>
      </c>
      <c r="E99" s="103" t="s">
        <v>207</v>
      </c>
      <c r="F99" s="144" t="s">
        <v>208</v>
      </c>
      <c r="G99" s="144"/>
      <c r="H99" s="144"/>
      <c r="I99" s="144"/>
      <c r="J99" s="160"/>
      <c r="K99" s="160"/>
      <c r="L99" s="160"/>
      <c r="M99" s="160"/>
      <c r="N99" s="160"/>
      <c r="O99" s="160"/>
      <c r="P99" s="189"/>
      <c r="Q99" s="160"/>
      <c r="R99" s="244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59" t="s">
        <v>89</v>
      </c>
      <c r="AU99" s="160"/>
      <c r="AV99" s="160"/>
      <c r="AW99" s="160"/>
      <c r="AX99" s="160"/>
      <c r="AY99" s="161"/>
      <c r="AZ99" s="163">
        <v>132870</v>
      </c>
      <c r="BA99" s="181"/>
      <c r="BB99" s="299">
        <f>AZ99*BB58</f>
        <v>505661.59039980813</v>
      </c>
    </row>
    <row r="100" spans="1:54" ht="12.75">
      <c r="A100" s="152">
        <v>1</v>
      </c>
      <c r="B100" s="152">
        <v>2</v>
      </c>
      <c r="C100" s="152">
        <v>3</v>
      </c>
      <c r="D100" s="152">
        <v>4</v>
      </c>
      <c r="E100" s="152">
        <v>5</v>
      </c>
      <c r="F100" s="152">
        <v>6</v>
      </c>
      <c r="G100" s="152">
        <v>7</v>
      </c>
      <c r="H100" s="152">
        <v>8</v>
      </c>
      <c r="I100" s="152">
        <v>9</v>
      </c>
      <c r="J100" s="160"/>
      <c r="K100" s="160"/>
      <c r="L100" s="160"/>
      <c r="M100" s="160"/>
      <c r="N100" s="160"/>
      <c r="O100" s="160"/>
      <c r="P100" s="189"/>
      <c r="Q100" s="160"/>
      <c r="R100" s="244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59" t="s">
        <v>90</v>
      </c>
      <c r="AU100" s="160"/>
      <c r="AV100" s="160"/>
      <c r="AW100" s="160"/>
      <c r="AX100" s="160"/>
      <c r="AY100" s="161"/>
      <c r="AZ100" s="163">
        <v>300</v>
      </c>
      <c r="BA100" s="181"/>
      <c r="BB100" s="299">
        <f>AZ100*BB58</f>
        <v>1141.7060067731047</v>
      </c>
    </row>
    <row r="101" spans="1:54" ht="12.75">
      <c r="A101" s="103"/>
      <c r="B101" s="148"/>
      <c r="C101" s="320" t="s">
        <v>287</v>
      </c>
      <c r="D101" s="320"/>
      <c r="E101" s="148"/>
      <c r="F101" s="148"/>
      <c r="G101" s="148"/>
      <c r="H101" s="148"/>
      <c r="I101" s="149"/>
      <c r="J101" s="160"/>
      <c r="K101" s="160"/>
      <c r="L101" s="160"/>
      <c r="M101" s="160"/>
      <c r="N101" s="160"/>
      <c r="O101" s="160"/>
      <c r="P101" s="189"/>
      <c r="Q101" s="160"/>
      <c r="R101" s="244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59" t="s">
        <v>91</v>
      </c>
      <c r="AU101" s="160"/>
      <c r="AV101" s="160"/>
      <c r="AW101" s="160"/>
      <c r="AX101" s="160"/>
      <c r="AY101" s="161"/>
      <c r="AZ101" s="163">
        <v>2200</v>
      </c>
      <c r="BA101" s="181"/>
      <c r="BB101" s="299">
        <f>AZ101*BB58</f>
        <v>8372.510716336103</v>
      </c>
    </row>
    <row r="102" spans="1:54" ht="12.75">
      <c r="A102" s="96"/>
      <c r="B102" s="102" t="s">
        <v>526</v>
      </c>
      <c r="C102" s="150"/>
      <c r="D102" s="150"/>
      <c r="E102" s="150"/>
      <c r="F102" s="150"/>
      <c r="G102" s="150"/>
      <c r="H102" s="150"/>
      <c r="I102" s="151"/>
      <c r="J102" s="160"/>
      <c r="K102" s="160"/>
      <c r="L102" s="160"/>
      <c r="M102" s="160"/>
      <c r="N102" s="160"/>
      <c r="O102" s="160"/>
      <c r="P102" s="189"/>
      <c r="Q102" s="160"/>
      <c r="R102" s="244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03" t="s">
        <v>41</v>
      </c>
      <c r="AU102" s="148"/>
      <c r="AV102" s="148"/>
      <c r="AW102" s="148"/>
      <c r="AX102" s="148"/>
      <c r="AY102" s="149"/>
      <c r="AZ102" s="164">
        <v>1000</v>
      </c>
      <c r="BA102" s="191"/>
      <c r="BB102" s="299">
        <f>AZ102*BB58</f>
        <v>3805.686689243683</v>
      </c>
    </row>
    <row r="103" spans="1:54" ht="12.75">
      <c r="A103" s="171">
        <v>1</v>
      </c>
      <c r="B103" s="143" t="s">
        <v>249</v>
      </c>
      <c r="C103" s="197">
        <v>804152757</v>
      </c>
      <c r="D103" s="230">
        <v>2076.3022</v>
      </c>
      <c r="E103" s="230">
        <v>2123.3895</v>
      </c>
      <c r="F103" s="155">
        <v>36000</v>
      </c>
      <c r="G103" s="252">
        <f>E103-D103</f>
        <v>47.08730000000014</v>
      </c>
      <c r="H103" s="96"/>
      <c r="I103" s="155">
        <f>F103*G103+H103</f>
        <v>1695142.8000000052</v>
      </c>
      <c r="J103" s="160"/>
      <c r="K103" s="160"/>
      <c r="L103" s="160"/>
      <c r="M103" s="160"/>
      <c r="N103" s="160"/>
      <c r="O103" s="160"/>
      <c r="P103" s="189"/>
      <c r="Q103" s="160"/>
      <c r="R103" s="244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255" t="s">
        <v>303</v>
      </c>
      <c r="AU103" s="146"/>
      <c r="AV103" s="146"/>
      <c r="AW103" s="146"/>
      <c r="AX103" s="146"/>
      <c r="AY103" s="147"/>
      <c r="AZ103" s="300">
        <f>SUM(AZ104:AZ108)</f>
        <v>12260</v>
      </c>
      <c r="BA103" s="202"/>
      <c r="BB103" s="299">
        <f>AZ103*BB58</f>
        <v>46657.71881012755</v>
      </c>
    </row>
    <row r="104" spans="1:54" ht="12.75">
      <c r="A104" s="144"/>
      <c r="B104" s="103" t="s">
        <v>250</v>
      </c>
      <c r="C104" s="213">
        <v>109054169</v>
      </c>
      <c r="D104" s="230">
        <v>2592.399</v>
      </c>
      <c r="E104" s="230">
        <v>2654.2677</v>
      </c>
      <c r="F104" s="155">
        <v>36000</v>
      </c>
      <c r="G104" s="252">
        <f>E104-D104</f>
        <v>61.86869999999999</v>
      </c>
      <c r="H104" s="96"/>
      <c r="I104" s="155">
        <f>F104*G104+H104</f>
        <v>2227273.1999999997</v>
      </c>
      <c r="J104" s="160"/>
      <c r="K104" s="160"/>
      <c r="L104" s="188"/>
      <c r="M104" s="188"/>
      <c r="N104" s="160"/>
      <c r="O104" s="160"/>
      <c r="P104" s="189"/>
      <c r="Q104" s="160"/>
      <c r="R104" s="244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59"/>
      <c r="AU104" s="160" t="s">
        <v>389</v>
      </c>
      <c r="AV104" s="160"/>
      <c r="AW104" s="160"/>
      <c r="AX104" s="160"/>
      <c r="AY104" s="161"/>
      <c r="AZ104" s="163">
        <v>2000</v>
      </c>
      <c r="BA104" s="181"/>
      <c r="BB104" s="299">
        <f>AZ104*BB58</f>
        <v>7611.373378487366</v>
      </c>
    </row>
    <row r="105" spans="1:54" ht="12.75">
      <c r="A105" s="102"/>
      <c r="B105" s="150"/>
      <c r="C105" s="148"/>
      <c r="D105" s="150"/>
      <c r="E105" s="150"/>
      <c r="F105" s="214" t="s">
        <v>212</v>
      </c>
      <c r="G105" s="150"/>
      <c r="H105" s="151"/>
      <c r="I105" s="155">
        <f>I103+I104</f>
        <v>3922416.0000000047</v>
      </c>
      <c r="J105" s="160"/>
      <c r="K105" s="160"/>
      <c r="L105" s="160"/>
      <c r="M105" s="160"/>
      <c r="N105" s="160"/>
      <c r="O105" s="160"/>
      <c r="P105" s="190"/>
      <c r="Q105" s="160"/>
      <c r="R105" s="16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59" t="s">
        <v>385</v>
      </c>
      <c r="AU105" s="160"/>
      <c r="AV105" s="160" t="s">
        <v>304</v>
      </c>
      <c r="AW105" s="160"/>
      <c r="AX105" s="160"/>
      <c r="AY105" s="161"/>
      <c r="AZ105" s="163">
        <v>4640</v>
      </c>
      <c r="BA105" s="181"/>
      <c r="BB105" s="299">
        <f>AZ105*BB58</f>
        <v>17658.386238090687</v>
      </c>
    </row>
    <row r="106" spans="1:54" ht="12.75">
      <c r="A106" s="96" t="s">
        <v>213</v>
      </c>
      <c r="B106" s="102" t="s">
        <v>214</v>
      </c>
      <c r="C106" s="150"/>
      <c r="D106" s="150"/>
      <c r="E106" s="150"/>
      <c r="F106" s="150"/>
      <c r="G106" s="150"/>
      <c r="H106" s="150"/>
      <c r="I106" s="151"/>
      <c r="J106" s="160"/>
      <c r="K106" s="160"/>
      <c r="L106" s="160"/>
      <c r="M106" s="160"/>
      <c r="N106" s="160"/>
      <c r="O106" s="160"/>
      <c r="P106" s="190"/>
      <c r="Q106" s="160"/>
      <c r="R106" s="16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59" t="s">
        <v>385</v>
      </c>
      <c r="AU106" s="160"/>
      <c r="AV106" s="160" t="s">
        <v>390</v>
      </c>
      <c r="AW106" s="160"/>
      <c r="AX106" s="160"/>
      <c r="AY106" s="161"/>
      <c r="AZ106" s="163">
        <v>50</v>
      </c>
      <c r="BA106" s="181"/>
      <c r="BB106" s="299">
        <f>AZ106*BB58</f>
        <v>190.28433446218415</v>
      </c>
    </row>
    <row r="107" spans="1:54" ht="12.75">
      <c r="A107" s="96" t="s">
        <v>215</v>
      </c>
      <c r="B107" s="96" t="s">
        <v>216</v>
      </c>
      <c r="C107" s="213">
        <v>109053225</v>
      </c>
      <c r="D107" s="230">
        <v>7266.2509</v>
      </c>
      <c r="E107" s="230">
        <v>7312.3174</v>
      </c>
      <c r="F107" s="155">
        <v>21000</v>
      </c>
      <c r="G107" s="252">
        <f>E107-D107</f>
        <v>46.066499999999905</v>
      </c>
      <c r="H107" s="96"/>
      <c r="I107" s="155">
        <f>F107*G107+H107</f>
        <v>967396.499999998</v>
      </c>
      <c r="J107" s="160"/>
      <c r="K107" s="160"/>
      <c r="L107" s="160"/>
      <c r="M107" s="160"/>
      <c r="N107" s="160"/>
      <c r="O107" s="160"/>
      <c r="P107" s="190"/>
      <c r="Q107" s="160"/>
      <c r="R107" s="16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60"/>
      <c r="AU107" s="160"/>
      <c r="AV107" s="160" t="s">
        <v>391</v>
      </c>
      <c r="AW107" s="160"/>
      <c r="AX107" s="160"/>
      <c r="AY107" s="160"/>
      <c r="AZ107" s="163">
        <v>260</v>
      </c>
      <c r="BA107" s="168"/>
      <c r="BB107" s="299">
        <f>AZ107*BB58</f>
        <v>989.4785392033575</v>
      </c>
    </row>
    <row r="108" spans="1:54" ht="12.75">
      <c r="A108" s="96" t="s">
        <v>521</v>
      </c>
      <c r="B108" s="150" t="s">
        <v>524</v>
      </c>
      <c r="C108" s="148"/>
      <c r="D108" s="150"/>
      <c r="E108" s="150"/>
      <c r="F108" s="214"/>
      <c r="G108" s="150"/>
      <c r="H108" s="151"/>
      <c r="I108" s="155"/>
      <c r="J108" s="160"/>
      <c r="K108" s="160"/>
      <c r="L108" s="160"/>
      <c r="M108" s="160"/>
      <c r="N108" s="160"/>
      <c r="O108" s="160"/>
      <c r="P108" s="190"/>
      <c r="Q108" s="160"/>
      <c r="R108" s="16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03" t="s">
        <v>155</v>
      </c>
      <c r="AU108" s="148"/>
      <c r="AV108" s="208"/>
      <c r="AW108" s="208"/>
      <c r="AX108" s="148"/>
      <c r="AY108" s="149"/>
      <c r="AZ108" s="164">
        <v>5310</v>
      </c>
      <c r="BA108" s="191"/>
      <c r="BB108" s="299">
        <f>AZ108*BB58</f>
        <v>20208.196319883955</v>
      </c>
    </row>
    <row r="109" spans="1:54" ht="12.75">
      <c r="A109" s="96" t="s">
        <v>522</v>
      </c>
      <c r="B109" s="102" t="s">
        <v>525</v>
      </c>
      <c r="C109" s="150"/>
      <c r="D109" s="150"/>
      <c r="E109" s="150"/>
      <c r="F109" s="150"/>
      <c r="G109" s="150"/>
      <c r="H109" s="151"/>
      <c r="I109" s="280"/>
      <c r="J109" s="160"/>
      <c r="K109" s="160"/>
      <c r="L109" s="160"/>
      <c r="M109" s="160"/>
      <c r="N109" s="160"/>
      <c r="O109" s="160"/>
      <c r="P109" s="190"/>
      <c r="Q109" s="160"/>
      <c r="R109" s="244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255" t="s">
        <v>536</v>
      </c>
      <c r="AU109" s="146"/>
      <c r="AV109" s="146"/>
      <c r="AW109" s="146"/>
      <c r="AX109" s="146"/>
      <c r="AY109" s="147"/>
      <c r="AZ109" s="300">
        <f>AZ110+AZ111</f>
        <v>88798</v>
      </c>
      <c r="BA109" s="202"/>
      <c r="BB109" s="299">
        <f>AZ109*BB58</f>
        <v>337937.36663146055</v>
      </c>
    </row>
    <row r="110" spans="1:54" ht="12.75">
      <c r="A110" s="102" t="s">
        <v>523</v>
      </c>
      <c r="B110" s="102"/>
      <c r="C110" s="371"/>
      <c r="D110" s="372"/>
      <c r="E110" s="372"/>
      <c r="F110" s="373"/>
      <c r="G110" s="374"/>
      <c r="H110" s="151"/>
      <c r="I110" s="280"/>
      <c r="J110" s="160"/>
      <c r="K110" s="160"/>
      <c r="L110" s="160"/>
      <c r="M110" s="160"/>
      <c r="N110" s="160"/>
      <c r="O110" s="160"/>
      <c r="P110" s="190"/>
      <c r="Q110" s="160"/>
      <c r="R110" s="16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59" t="s">
        <v>93</v>
      </c>
      <c r="AU110" s="160"/>
      <c r="AV110" s="160"/>
      <c r="AW110" s="160"/>
      <c r="AX110" s="160"/>
      <c r="AY110" s="161"/>
      <c r="AZ110" s="163">
        <v>6835</v>
      </c>
      <c r="BA110" s="181"/>
      <c r="BB110" s="299">
        <f>AZ110*BB58</f>
        <v>26011.86852098057</v>
      </c>
    </row>
    <row r="111" spans="1:54" ht="12.75">
      <c r="A111" s="96" t="s">
        <v>219</v>
      </c>
      <c r="B111" s="102" t="s">
        <v>220</v>
      </c>
      <c r="C111" s="150"/>
      <c r="D111" s="150"/>
      <c r="E111" s="150"/>
      <c r="F111" s="150"/>
      <c r="G111" s="150"/>
      <c r="H111" s="150"/>
      <c r="I111" s="151"/>
      <c r="J111" s="160"/>
      <c r="K111" s="160"/>
      <c r="L111" s="160"/>
      <c r="M111" s="160"/>
      <c r="N111" s="160"/>
      <c r="O111" s="160"/>
      <c r="P111" s="160"/>
      <c r="Q111" s="160"/>
      <c r="R111" s="16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03" t="s">
        <v>94</v>
      </c>
      <c r="AU111" s="148"/>
      <c r="AV111" s="148"/>
      <c r="AW111" s="148"/>
      <c r="AX111" s="148"/>
      <c r="AY111" s="149"/>
      <c r="AZ111" s="164">
        <v>81963</v>
      </c>
      <c r="BA111" s="191"/>
      <c r="BB111" s="299">
        <f>AZ111*BB58</f>
        <v>311925.49811047997</v>
      </c>
    </row>
    <row r="112" spans="1:54" ht="12.75">
      <c r="A112" s="143" t="s">
        <v>221</v>
      </c>
      <c r="B112" s="143" t="s">
        <v>224</v>
      </c>
      <c r="C112" s="197"/>
      <c r="D112" s="171"/>
      <c r="E112" s="171"/>
      <c r="F112" s="175"/>
      <c r="G112" s="171"/>
      <c r="H112" s="171"/>
      <c r="I112" s="171"/>
      <c r="J112" s="160"/>
      <c r="K112" s="160"/>
      <c r="L112" s="160"/>
      <c r="M112" s="160"/>
      <c r="N112" s="160"/>
      <c r="O112" s="160"/>
      <c r="P112" s="160"/>
      <c r="Q112" s="160"/>
      <c r="R112" s="16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273" t="s">
        <v>392</v>
      </c>
      <c r="AU112" s="150"/>
      <c r="AV112" s="150"/>
      <c r="AW112" s="150"/>
      <c r="AX112" s="150"/>
      <c r="AY112" s="151"/>
      <c r="AZ112" s="235">
        <v>16520</v>
      </c>
      <c r="BA112" s="199"/>
      <c r="BB112" s="299">
        <f>AZ112*BB58</f>
        <v>62869.94410630564</v>
      </c>
    </row>
    <row r="113" spans="1:54" ht="12.75">
      <c r="A113" s="144"/>
      <c r="B113" s="144" t="s">
        <v>222</v>
      </c>
      <c r="C113" s="198">
        <v>109056121</v>
      </c>
      <c r="D113" s="323">
        <v>6377.8266</v>
      </c>
      <c r="E113" s="323">
        <v>6401.3207</v>
      </c>
      <c r="F113" s="164">
        <v>4800</v>
      </c>
      <c r="G113" s="324">
        <f aca="true" t="shared" si="2" ref="G113:G132">E113-D113</f>
        <v>23.49409999999989</v>
      </c>
      <c r="H113" s="164"/>
      <c r="I113" s="164">
        <f>F113*G113+H113</f>
        <v>112771.67999999947</v>
      </c>
      <c r="J113" s="160"/>
      <c r="K113" s="160"/>
      <c r="L113" s="160"/>
      <c r="M113" s="160"/>
      <c r="N113" s="160"/>
      <c r="O113" s="160"/>
      <c r="P113" s="160"/>
      <c r="Q113" s="160"/>
      <c r="R113" s="16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273" t="s">
        <v>154</v>
      </c>
      <c r="AU113" s="150"/>
      <c r="AV113" s="150"/>
      <c r="AW113" s="150"/>
      <c r="AX113" s="150"/>
      <c r="AY113" s="151"/>
      <c r="AZ113" s="235">
        <v>18036</v>
      </c>
      <c r="BA113" s="199"/>
      <c r="BB113" s="299">
        <f>AZ113*BB58</f>
        <v>68639.36512719907</v>
      </c>
    </row>
    <row r="114" spans="1:54" ht="12.75">
      <c r="A114" s="143" t="s">
        <v>223</v>
      </c>
      <c r="B114" s="143" t="s">
        <v>235</v>
      </c>
      <c r="C114" s="197">
        <v>623125232</v>
      </c>
      <c r="D114" s="325">
        <v>2942.123</v>
      </c>
      <c r="E114" s="325">
        <v>2975.8291</v>
      </c>
      <c r="F114" s="175">
        <v>1800</v>
      </c>
      <c r="G114" s="326">
        <f t="shared" si="2"/>
        <v>33.70609999999988</v>
      </c>
      <c r="H114" s="171"/>
      <c r="I114" s="175">
        <f>G114*F114</f>
        <v>60670.97999999978</v>
      </c>
      <c r="J114" s="160"/>
      <c r="K114" s="160"/>
      <c r="L114" s="160"/>
      <c r="M114" s="160"/>
      <c r="N114" s="160"/>
      <c r="O114" s="160"/>
      <c r="P114" s="160"/>
      <c r="Q114" s="160"/>
      <c r="R114" s="16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273" t="s">
        <v>362</v>
      </c>
      <c r="AU114" s="150"/>
      <c r="AV114" s="150"/>
      <c r="AW114" s="150"/>
      <c r="AX114" s="150"/>
      <c r="AY114" s="151"/>
      <c r="AZ114" s="235">
        <v>13574</v>
      </c>
      <c r="BA114" s="199"/>
      <c r="BB114" s="299">
        <f>AZ114*BB58</f>
        <v>51658.39111979375</v>
      </c>
    </row>
    <row r="115" spans="1:54" ht="12.75">
      <c r="A115" s="144"/>
      <c r="B115" s="144" t="s">
        <v>222</v>
      </c>
      <c r="C115" s="169"/>
      <c r="D115" s="228"/>
      <c r="E115" s="228"/>
      <c r="F115" s="164"/>
      <c r="G115" s="227"/>
      <c r="H115" s="169"/>
      <c r="I115" s="164"/>
      <c r="J115" s="160"/>
      <c r="K115" s="160"/>
      <c r="L115" s="160"/>
      <c r="M115" s="160"/>
      <c r="N115" s="160"/>
      <c r="O115" s="160"/>
      <c r="P115" s="160"/>
      <c r="Q115" s="160"/>
      <c r="R115" s="16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273" t="s">
        <v>297</v>
      </c>
      <c r="AU115" s="150"/>
      <c r="AV115" s="150"/>
      <c r="AW115" s="150"/>
      <c r="AX115" s="150"/>
      <c r="AY115" s="151"/>
      <c r="AZ115" s="235">
        <v>2512</v>
      </c>
      <c r="BA115" s="199"/>
      <c r="BB115" s="299">
        <f>AZ115*BB58</f>
        <v>9559.884963380131</v>
      </c>
    </row>
    <row r="116" spans="1:54" ht="12.75">
      <c r="A116" s="143" t="s">
        <v>225</v>
      </c>
      <c r="B116" s="143" t="s">
        <v>236</v>
      </c>
      <c r="C116" s="197">
        <v>623125667</v>
      </c>
      <c r="D116" s="325">
        <v>3337.1988</v>
      </c>
      <c r="E116" s="325">
        <v>3383.1527</v>
      </c>
      <c r="F116" s="175">
        <v>1800</v>
      </c>
      <c r="G116" s="326">
        <f t="shared" si="2"/>
        <v>45.953899999999976</v>
      </c>
      <c r="H116" s="171"/>
      <c r="I116" s="175">
        <f>G116*F116</f>
        <v>82717.01999999996</v>
      </c>
      <c r="J116" s="160"/>
      <c r="K116" s="160"/>
      <c r="L116" s="160"/>
      <c r="M116" s="160"/>
      <c r="N116" s="160"/>
      <c r="O116" s="160"/>
      <c r="P116" s="160"/>
      <c r="Q116" s="160"/>
      <c r="R116" s="16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273" t="s">
        <v>6</v>
      </c>
      <c r="AU116" s="150"/>
      <c r="AV116" s="150"/>
      <c r="AW116" s="150"/>
      <c r="AX116" s="150"/>
      <c r="AY116" s="151"/>
      <c r="AZ116" s="235">
        <v>25000</v>
      </c>
      <c r="BA116" s="199"/>
      <c r="BB116" s="299">
        <f>AZ116*BB58</f>
        <v>95142.16723109207</v>
      </c>
    </row>
    <row r="117" spans="1:54" ht="12.75">
      <c r="A117" s="144"/>
      <c r="B117" s="144" t="s">
        <v>222</v>
      </c>
      <c r="C117" s="169"/>
      <c r="D117" s="228"/>
      <c r="E117" s="228"/>
      <c r="F117" s="164"/>
      <c r="G117" s="227"/>
      <c r="H117" s="169"/>
      <c r="I117" s="164"/>
      <c r="J117" s="160"/>
      <c r="K117" s="160"/>
      <c r="L117" s="160"/>
      <c r="M117" s="160"/>
      <c r="N117" s="160"/>
      <c r="O117" s="160"/>
      <c r="P117" s="160"/>
      <c r="Q117" s="160"/>
      <c r="R117" s="16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273" t="s">
        <v>21</v>
      </c>
      <c r="AU117" s="214"/>
      <c r="AV117" s="150"/>
      <c r="AW117" s="150"/>
      <c r="AX117" s="150"/>
      <c r="AY117" s="151"/>
      <c r="AZ117" s="235">
        <v>7000</v>
      </c>
      <c r="BA117" s="199"/>
      <c r="BB117" s="299">
        <f>AZ117*BB58</f>
        <v>26639.806824705778</v>
      </c>
    </row>
    <row r="118" spans="1:54" ht="12.75">
      <c r="A118" s="143" t="s">
        <v>226</v>
      </c>
      <c r="B118" s="143" t="s">
        <v>237</v>
      </c>
      <c r="C118" s="197">
        <v>623126370</v>
      </c>
      <c r="D118" s="325">
        <v>670.4645</v>
      </c>
      <c r="E118" s="325">
        <v>675.4778</v>
      </c>
      <c r="F118" s="175">
        <v>4800</v>
      </c>
      <c r="G118" s="326">
        <f t="shared" si="2"/>
        <v>5.013299999999958</v>
      </c>
      <c r="H118" s="171"/>
      <c r="I118" s="175">
        <f>G118*F118</f>
        <v>24063.8399999998</v>
      </c>
      <c r="J118" s="160"/>
      <c r="K118" s="160"/>
      <c r="L118" s="160"/>
      <c r="M118" s="160"/>
      <c r="N118" s="160"/>
      <c r="O118" s="160"/>
      <c r="P118" s="160"/>
      <c r="Q118" s="160"/>
      <c r="R118" s="16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273" t="s">
        <v>388</v>
      </c>
      <c r="AU118" s="214"/>
      <c r="AV118" s="150"/>
      <c r="AW118" s="150"/>
      <c r="AX118" s="150"/>
      <c r="AY118" s="151"/>
      <c r="AZ118" s="235">
        <v>50</v>
      </c>
      <c r="BA118" s="199"/>
      <c r="BB118" s="299">
        <f>AZ118*BB58</f>
        <v>190.28433446218415</v>
      </c>
    </row>
    <row r="119" spans="1:54" ht="12.75">
      <c r="A119" s="144"/>
      <c r="B119" s="144" t="s">
        <v>222</v>
      </c>
      <c r="C119" s="169"/>
      <c r="D119" s="228"/>
      <c r="E119" s="228"/>
      <c r="F119" s="164"/>
      <c r="G119" s="227"/>
      <c r="H119" s="169"/>
      <c r="I119" s="164"/>
      <c r="J119" s="160"/>
      <c r="K119" s="160"/>
      <c r="L119" s="160"/>
      <c r="M119" s="160"/>
      <c r="N119" s="160"/>
      <c r="O119" s="160"/>
      <c r="P119" s="160"/>
      <c r="Q119" s="160"/>
      <c r="R119" s="16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273" t="s">
        <v>365</v>
      </c>
      <c r="AU119" s="214"/>
      <c r="AV119" s="150"/>
      <c r="AW119" s="150"/>
      <c r="AX119" s="150"/>
      <c r="AY119" s="151"/>
      <c r="AZ119" s="235">
        <v>37600</v>
      </c>
      <c r="BA119" s="199"/>
      <c r="BB119" s="299">
        <f>AZ119*BB58</f>
        <v>143093.81951556247</v>
      </c>
    </row>
    <row r="120" spans="1:54" ht="12.75">
      <c r="A120" s="143" t="s">
        <v>227</v>
      </c>
      <c r="B120" s="143" t="s">
        <v>238</v>
      </c>
      <c r="C120" s="197">
        <v>623125137</v>
      </c>
      <c r="D120" s="325">
        <v>671.1028</v>
      </c>
      <c r="E120" s="325">
        <v>682.4135</v>
      </c>
      <c r="F120" s="175">
        <v>4800</v>
      </c>
      <c r="G120" s="326">
        <f t="shared" si="2"/>
        <v>11.310699999999997</v>
      </c>
      <c r="H120" s="171"/>
      <c r="I120" s="175">
        <f>G120*F120</f>
        <v>54291.359999999986</v>
      </c>
      <c r="J120" s="160"/>
      <c r="K120" s="160"/>
      <c r="L120" s="160"/>
      <c r="M120" s="160"/>
      <c r="N120" s="160"/>
      <c r="O120" s="160"/>
      <c r="P120" s="160"/>
      <c r="Q120" s="160"/>
      <c r="R120" s="16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273"/>
      <c r="AU120" s="214"/>
      <c r="AV120" s="150"/>
      <c r="AW120" s="150"/>
      <c r="AX120" s="150"/>
      <c r="AY120" s="151"/>
      <c r="AZ120" s="235"/>
      <c r="BA120" s="199"/>
      <c r="BB120" s="299"/>
    </row>
    <row r="121" spans="1:54" ht="12.75">
      <c r="A121" s="144"/>
      <c r="B121" s="144" t="s">
        <v>222</v>
      </c>
      <c r="C121" s="169"/>
      <c r="D121" s="228"/>
      <c r="E121" s="228"/>
      <c r="F121" s="164"/>
      <c r="G121" s="227"/>
      <c r="H121" s="169"/>
      <c r="I121" s="164"/>
      <c r="J121" s="160"/>
      <c r="K121" s="160"/>
      <c r="L121" s="160"/>
      <c r="M121" s="160"/>
      <c r="N121" s="160"/>
      <c r="O121" s="160"/>
      <c r="P121" s="160"/>
      <c r="Q121" s="160"/>
      <c r="R121" s="16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02"/>
      <c r="AU121" s="150"/>
      <c r="AV121" s="150"/>
      <c r="AW121" s="150"/>
      <c r="AX121" s="150"/>
      <c r="AY121" s="151"/>
      <c r="AZ121" s="235"/>
      <c r="BA121" s="199"/>
      <c r="BB121" s="299"/>
    </row>
    <row r="122" spans="1:54" ht="12.75">
      <c r="A122" s="143" t="s">
        <v>228</v>
      </c>
      <c r="B122" s="143" t="s">
        <v>239</v>
      </c>
      <c r="C122" s="197">
        <v>623125142</v>
      </c>
      <c r="D122" s="325">
        <v>2344.77</v>
      </c>
      <c r="E122" s="325">
        <v>2373.0368</v>
      </c>
      <c r="F122" s="175">
        <v>2400</v>
      </c>
      <c r="G122" s="326">
        <f t="shared" si="2"/>
        <v>28.266799999999876</v>
      </c>
      <c r="H122" s="171"/>
      <c r="I122" s="175">
        <f>G122*F122</f>
        <v>67840.3199999997</v>
      </c>
      <c r="J122" s="160"/>
      <c r="K122" s="160"/>
      <c r="L122" s="160"/>
      <c r="M122" s="160"/>
      <c r="N122" s="160"/>
      <c r="O122" s="160"/>
      <c r="P122" s="160"/>
      <c r="Q122" s="160"/>
      <c r="R122" s="16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02"/>
      <c r="AU122" s="150"/>
      <c r="AV122" s="150"/>
      <c r="AW122" s="150"/>
      <c r="AX122" s="150"/>
      <c r="AY122" s="151"/>
      <c r="AZ122" s="235"/>
      <c r="BA122" s="199"/>
      <c r="BB122" s="299"/>
    </row>
    <row r="123" spans="1:54" ht="12.75">
      <c r="A123" s="144"/>
      <c r="B123" s="144" t="s">
        <v>222</v>
      </c>
      <c r="C123" s="169"/>
      <c r="D123" s="228"/>
      <c r="E123" s="228"/>
      <c r="F123" s="164"/>
      <c r="G123" s="227"/>
      <c r="H123" s="169"/>
      <c r="I123" s="164"/>
      <c r="J123" s="160"/>
      <c r="K123" s="160"/>
      <c r="L123" s="160"/>
      <c r="M123" s="160"/>
      <c r="N123" s="160"/>
      <c r="O123" s="160"/>
      <c r="P123" s="160"/>
      <c r="Q123" s="160"/>
      <c r="R123" s="16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02"/>
      <c r="AU123" s="150"/>
      <c r="AV123" s="150"/>
      <c r="AW123" s="150"/>
      <c r="AX123" s="150"/>
      <c r="AY123" s="151"/>
      <c r="AZ123" s="235"/>
      <c r="BA123" s="199"/>
      <c r="BB123" s="299"/>
    </row>
    <row r="124" spans="1:54" ht="12.75">
      <c r="A124" s="143" t="s">
        <v>229</v>
      </c>
      <c r="B124" s="143" t="s">
        <v>240</v>
      </c>
      <c r="C124" s="197">
        <v>623125205</v>
      </c>
      <c r="D124" s="325">
        <v>1724.8008</v>
      </c>
      <c r="E124" s="325">
        <v>1764.4453</v>
      </c>
      <c r="F124" s="175">
        <v>1800</v>
      </c>
      <c r="G124" s="326">
        <f t="shared" si="2"/>
        <v>39.64450000000011</v>
      </c>
      <c r="H124" s="171"/>
      <c r="I124" s="175">
        <f>G124*F124</f>
        <v>71360.1000000002</v>
      </c>
      <c r="J124" s="160"/>
      <c r="K124" s="160"/>
      <c r="L124" s="160"/>
      <c r="M124" s="160"/>
      <c r="N124" s="160"/>
      <c r="O124" s="160"/>
      <c r="P124" s="160"/>
      <c r="Q124" s="160"/>
      <c r="R124" s="16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02"/>
      <c r="AU124" s="150"/>
      <c r="AV124" s="150"/>
      <c r="AW124" s="150"/>
      <c r="AX124" s="150"/>
      <c r="AY124" s="151"/>
      <c r="AZ124" s="235"/>
      <c r="BA124" s="199"/>
      <c r="BB124" s="299"/>
    </row>
    <row r="125" spans="1:54" ht="12.75">
      <c r="A125" s="144"/>
      <c r="B125" s="144" t="s">
        <v>222</v>
      </c>
      <c r="C125" s="169"/>
      <c r="D125" s="228"/>
      <c r="E125" s="228"/>
      <c r="F125" s="164"/>
      <c r="G125" s="227"/>
      <c r="H125" s="169"/>
      <c r="I125" s="164"/>
      <c r="J125" s="160"/>
      <c r="K125" s="160"/>
      <c r="L125" s="160"/>
      <c r="M125" s="160"/>
      <c r="N125" s="160"/>
      <c r="O125" s="160"/>
      <c r="P125" s="160"/>
      <c r="Q125" s="160"/>
      <c r="R125" s="16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02"/>
      <c r="AU125" s="150"/>
      <c r="AV125" s="150"/>
      <c r="AW125" s="150"/>
      <c r="AX125" s="150"/>
      <c r="AY125" s="151"/>
      <c r="AZ125" s="235"/>
      <c r="BA125" s="199"/>
      <c r="BB125" s="299"/>
    </row>
    <row r="126" spans="1:54" ht="12.75">
      <c r="A126" s="143" t="s">
        <v>230</v>
      </c>
      <c r="B126" s="143" t="s">
        <v>241</v>
      </c>
      <c r="C126" s="197">
        <v>623123704</v>
      </c>
      <c r="D126" s="325">
        <v>2186.485</v>
      </c>
      <c r="E126" s="325">
        <v>2224.913</v>
      </c>
      <c r="F126" s="175">
        <v>1800</v>
      </c>
      <c r="G126" s="326">
        <f t="shared" si="2"/>
        <v>38.427999999999884</v>
      </c>
      <c r="H126" s="171"/>
      <c r="I126" s="175">
        <f>G126*F126</f>
        <v>69170.39999999979</v>
      </c>
      <c r="J126" s="160"/>
      <c r="K126" s="160"/>
      <c r="L126" s="160"/>
      <c r="M126" s="160"/>
      <c r="N126" s="160"/>
      <c r="O126" s="160"/>
      <c r="P126" s="160"/>
      <c r="Q126" s="160"/>
      <c r="R126" s="16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02"/>
      <c r="AU126" s="150"/>
      <c r="AV126" s="219"/>
      <c r="AW126" s="219"/>
      <c r="AX126" s="150"/>
      <c r="AY126" s="151"/>
      <c r="AZ126" s="235"/>
      <c r="BA126" s="199"/>
      <c r="BB126" s="299"/>
    </row>
    <row r="127" spans="1:54" ht="12.75">
      <c r="A127" s="144"/>
      <c r="B127" s="144" t="s">
        <v>222</v>
      </c>
      <c r="C127" s="169"/>
      <c r="D127" s="228"/>
      <c r="E127" s="228"/>
      <c r="F127" s="164"/>
      <c r="G127" s="227"/>
      <c r="H127" s="169"/>
      <c r="I127" s="164"/>
      <c r="J127" s="160"/>
      <c r="K127" s="160"/>
      <c r="L127" s="160"/>
      <c r="M127" s="160"/>
      <c r="N127" s="160"/>
      <c r="O127" s="160"/>
      <c r="P127" s="160"/>
      <c r="Q127" s="160"/>
      <c r="R127" s="16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60"/>
      <c r="AU127" s="120"/>
      <c r="AV127" s="120"/>
      <c r="AW127" s="120"/>
      <c r="AX127" s="120"/>
      <c r="AY127" s="120"/>
      <c r="AZ127" s="274"/>
      <c r="BA127" s="120"/>
      <c r="BB127" s="120"/>
    </row>
    <row r="128" spans="1:54" ht="12.75">
      <c r="A128" s="143" t="s">
        <v>231</v>
      </c>
      <c r="B128" s="143" t="s">
        <v>242</v>
      </c>
      <c r="C128" s="197">
        <v>623125794</v>
      </c>
      <c r="D128" s="325">
        <v>64.2493</v>
      </c>
      <c r="E128" s="325">
        <v>66.3076</v>
      </c>
      <c r="F128" s="175">
        <v>1800</v>
      </c>
      <c r="G128" s="326">
        <f>E128-D128</f>
        <v>2.0582999999999885</v>
      </c>
      <c r="H128" s="171"/>
      <c r="I128" s="175">
        <f>G128*F128</f>
        <v>3704.939999999979</v>
      </c>
      <c r="J128" s="160"/>
      <c r="K128" s="160"/>
      <c r="L128" s="160"/>
      <c r="M128" s="160"/>
      <c r="N128" s="160"/>
      <c r="O128" s="160"/>
      <c r="P128" s="160"/>
      <c r="Q128" s="160"/>
      <c r="R128" s="16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60"/>
      <c r="AU128" s="120"/>
      <c r="AV128" s="120"/>
      <c r="AW128" s="120"/>
      <c r="AX128" s="120"/>
      <c r="AY128" s="120"/>
      <c r="AZ128" s="274"/>
      <c r="BA128" s="120"/>
      <c r="BB128" s="120"/>
    </row>
    <row r="129" spans="1:54" ht="12.75">
      <c r="A129" s="144"/>
      <c r="B129" s="144" t="s">
        <v>222</v>
      </c>
      <c r="C129" s="169"/>
      <c r="D129" s="228"/>
      <c r="E129" s="228"/>
      <c r="F129" s="164"/>
      <c r="G129" s="227"/>
      <c r="H129" s="169"/>
      <c r="I129" s="164"/>
      <c r="J129" s="160"/>
      <c r="K129" s="160"/>
      <c r="L129" s="160"/>
      <c r="M129" s="160"/>
      <c r="N129" s="160"/>
      <c r="O129" s="160"/>
      <c r="P129" s="160"/>
      <c r="Q129" s="160"/>
      <c r="R129" s="16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60"/>
      <c r="AU129" s="120"/>
      <c r="AV129" s="120"/>
      <c r="AW129" s="120"/>
      <c r="AX129" s="120"/>
      <c r="AY129" s="120"/>
      <c r="AZ129" s="274"/>
      <c r="BA129" s="120"/>
      <c r="BB129" s="120"/>
    </row>
    <row r="130" spans="1:54" ht="12.75">
      <c r="A130" s="143" t="s">
        <v>232</v>
      </c>
      <c r="B130" s="143" t="s">
        <v>243</v>
      </c>
      <c r="C130" s="197">
        <v>623125736</v>
      </c>
      <c r="D130" s="325">
        <v>2798.5119</v>
      </c>
      <c r="E130" s="325">
        <v>2838.5463</v>
      </c>
      <c r="F130" s="175">
        <v>1200</v>
      </c>
      <c r="G130" s="326">
        <f t="shared" si="2"/>
        <v>40.034400000000005</v>
      </c>
      <c r="H130" s="171"/>
      <c r="I130" s="175">
        <f>G130*F130</f>
        <v>48041.280000000006</v>
      </c>
      <c r="J130" s="160"/>
      <c r="K130" s="160"/>
      <c r="L130" s="160"/>
      <c r="M130" s="160"/>
      <c r="N130" s="160"/>
      <c r="O130" s="160"/>
      <c r="P130" s="160"/>
      <c r="Q130" s="160"/>
      <c r="R130" s="16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60"/>
      <c r="AU130" s="120"/>
      <c r="AV130" s="120"/>
      <c r="AW130" s="120"/>
      <c r="AX130" s="120"/>
      <c r="AY130" s="120"/>
      <c r="AZ130" s="274"/>
      <c r="BA130" s="120"/>
      <c r="BB130" s="120"/>
    </row>
    <row r="131" spans="1:54" ht="12.75">
      <c r="A131" s="144"/>
      <c r="B131" s="144" t="s">
        <v>222</v>
      </c>
      <c r="C131" s="168"/>
      <c r="D131" s="228"/>
      <c r="E131" s="228"/>
      <c r="F131" s="164"/>
      <c r="G131" s="227"/>
      <c r="H131" s="169"/>
      <c r="I131" s="164"/>
      <c r="J131" s="160"/>
      <c r="K131" s="160"/>
      <c r="L131" s="160"/>
      <c r="M131" s="160"/>
      <c r="N131" s="160"/>
      <c r="O131" s="160"/>
      <c r="P131" s="160"/>
      <c r="Q131" s="160"/>
      <c r="R131" s="16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60"/>
      <c r="AU131" s="120" t="s">
        <v>9</v>
      </c>
      <c r="AV131" s="120"/>
      <c r="AW131" s="120"/>
      <c r="AX131" s="120"/>
      <c r="AY131" s="120"/>
      <c r="AZ131" s="301">
        <f>AZ9</f>
        <v>6369457</v>
      </c>
      <c r="BA131" s="120"/>
      <c r="BB131" s="275">
        <f>SUM(BB93:BB96)+BB103+BB109+SUM(BB112:BB126)</f>
        <v>24240157.722609997</v>
      </c>
    </row>
    <row r="132" spans="1:54" ht="12.75">
      <c r="A132" s="143" t="s">
        <v>233</v>
      </c>
      <c r="B132" s="145" t="s">
        <v>234</v>
      </c>
      <c r="C132" s="197">
        <v>1110171156</v>
      </c>
      <c r="D132" s="325">
        <v>1035.5456</v>
      </c>
      <c r="E132" s="325">
        <v>1102.0188</v>
      </c>
      <c r="F132" s="175">
        <v>40</v>
      </c>
      <c r="G132" s="326">
        <f t="shared" si="2"/>
        <v>66.47320000000013</v>
      </c>
      <c r="H132" s="171"/>
      <c r="I132" s="175">
        <f>G132*F132</f>
        <v>2658.9280000000053</v>
      </c>
      <c r="J132" s="160"/>
      <c r="K132" s="160"/>
      <c r="L132" s="160"/>
      <c r="M132" s="160"/>
      <c r="N132" s="160"/>
      <c r="O132" s="160"/>
      <c r="P132" s="160"/>
      <c r="Q132" s="160"/>
      <c r="R132" s="16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60"/>
      <c r="AU132" s="120"/>
      <c r="AV132" s="120"/>
      <c r="AW132" s="120"/>
      <c r="AX132" s="120"/>
      <c r="AY132" s="120"/>
      <c r="AZ132" s="274"/>
      <c r="BA132" s="120"/>
      <c r="BB132" s="120"/>
    </row>
    <row r="133" spans="1:54" ht="12.75">
      <c r="A133" s="144"/>
      <c r="B133" s="103" t="s">
        <v>222</v>
      </c>
      <c r="C133" s="169"/>
      <c r="D133" s="379"/>
      <c r="E133" s="228"/>
      <c r="F133" s="164"/>
      <c r="G133" s="229"/>
      <c r="H133" s="169"/>
      <c r="I133" s="164"/>
      <c r="J133" s="160"/>
      <c r="K133" s="160"/>
      <c r="L133" s="160"/>
      <c r="M133" s="160"/>
      <c r="N133" s="160"/>
      <c r="O133" s="160"/>
      <c r="P133" s="160"/>
      <c r="Q133" s="160"/>
      <c r="R133" s="16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60"/>
      <c r="AU133" s="120"/>
      <c r="AV133" s="120"/>
      <c r="AW133" s="120"/>
      <c r="AX133" s="120"/>
      <c r="AY133" s="120"/>
      <c r="AZ133" s="120"/>
      <c r="BA133" s="120"/>
      <c r="BB133" s="120"/>
    </row>
    <row r="134" spans="1:54" ht="12.75">
      <c r="A134" s="201"/>
      <c r="B134" s="150"/>
      <c r="C134" s="191"/>
      <c r="D134" s="199"/>
      <c r="E134" s="200"/>
      <c r="F134" s="200"/>
      <c r="G134" s="215" t="s">
        <v>244</v>
      </c>
      <c r="H134" s="151"/>
      <c r="I134" s="235">
        <f>SUM(I112:I133)+I107</f>
        <v>1564687.3479999967</v>
      </c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60" t="s">
        <v>571</v>
      </c>
      <c r="AU134" s="120"/>
      <c r="AV134" s="120"/>
      <c r="AW134" s="120"/>
      <c r="AX134" s="120"/>
      <c r="AY134" s="120"/>
      <c r="AZ134" s="120"/>
      <c r="BA134" s="120"/>
      <c r="BB134" s="120"/>
    </row>
    <row r="135" spans="1:54" ht="12.75">
      <c r="A135" s="143" t="s">
        <v>247</v>
      </c>
      <c r="B135" s="145" t="s">
        <v>245</v>
      </c>
      <c r="C135" s="202"/>
      <c r="D135" s="202"/>
      <c r="E135" s="203"/>
      <c r="F135" s="203"/>
      <c r="G135" s="204"/>
      <c r="H135" s="146"/>
      <c r="I135" s="205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60"/>
      <c r="AU135" s="120"/>
      <c r="AV135" s="120"/>
      <c r="AW135" s="120"/>
      <c r="AX135" s="120"/>
      <c r="AY135" s="120"/>
      <c r="AZ135" s="120"/>
      <c r="BA135" s="120"/>
      <c r="BB135" s="120"/>
    </row>
    <row r="136" spans="1:54" ht="12.75">
      <c r="A136" s="173"/>
      <c r="B136" s="159" t="s">
        <v>246</v>
      </c>
      <c r="C136" s="206"/>
      <c r="D136" s="191"/>
      <c r="E136" s="207"/>
      <c r="F136" s="207"/>
      <c r="G136" s="208"/>
      <c r="H136" s="148"/>
      <c r="I136" s="209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60" t="s">
        <v>143</v>
      </c>
      <c r="AU136" s="120"/>
      <c r="AV136" s="120"/>
      <c r="AW136" s="120"/>
      <c r="AX136" s="120"/>
      <c r="AY136" s="120"/>
      <c r="AZ136" s="120"/>
      <c r="BA136" s="120"/>
      <c r="BB136" s="120"/>
    </row>
    <row r="137" spans="1:54" ht="12.75">
      <c r="A137" s="145" t="s">
        <v>248</v>
      </c>
      <c r="B137" s="143" t="s">
        <v>489</v>
      </c>
      <c r="C137" s="304"/>
      <c r="D137" s="211"/>
      <c r="E137" s="211"/>
      <c r="F137" s="155"/>
      <c r="G137" s="212"/>
      <c r="H137" s="152"/>
      <c r="I137" s="155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60"/>
      <c r="AU137" s="120"/>
      <c r="AV137" s="120"/>
      <c r="AW137" s="120"/>
      <c r="AX137" s="120"/>
      <c r="AY137" s="120"/>
      <c r="AZ137" s="120"/>
      <c r="BA137" s="120"/>
      <c r="BB137" s="120"/>
    </row>
    <row r="138" spans="1:54" ht="12.75">
      <c r="A138" s="159"/>
      <c r="B138" s="173"/>
      <c r="C138" s="305">
        <v>611127627</v>
      </c>
      <c r="D138" s="302">
        <v>2304.2184</v>
      </c>
      <c r="E138" s="302">
        <v>2332.356</v>
      </c>
      <c r="F138" s="155">
        <v>40</v>
      </c>
      <c r="G138" s="252">
        <f>E138-D138</f>
        <v>28.13760000000002</v>
      </c>
      <c r="H138" s="155"/>
      <c r="I138" s="155">
        <f>ROUND(F138*G138+H138,0)</f>
        <v>1126</v>
      </c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60"/>
      <c r="AU138" s="120"/>
      <c r="AV138" s="120"/>
      <c r="AW138" s="120"/>
      <c r="AX138" s="120"/>
      <c r="AY138" s="120"/>
      <c r="AZ138" s="120"/>
      <c r="BA138" s="120"/>
      <c r="BB138" s="120"/>
    </row>
    <row r="139" spans="1:54" ht="12.75">
      <c r="A139" s="159"/>
      <c r="B139" s="144" t="s">
        <v>467</v>
      </c>
      <c r="C139" s="305"/>
      <c r="D139" s="306"/>
      <c r="E139" s="306"/>
      <c r="F139" s="155"/>
      <c r="G139" s="212"/>
      <c r="H139" s="155"/>
      <c r="I139" s="155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</row>
    <row r="140" spans="1:54" ht="12.75">
      <c r="A140" s="143" t="s">
        <v>251</v>
      </c>
      <c r="B140" s="161"/>
      <c r="C140" s="213">
        <v>810120245</v>
      </c>
      <c r="D140" s="302">
        <v>1280.6858</v>
      </c>
      <c r="E140" s="302">
        <v>1281.1524</v>
      </c>
      <c r="F140" s="155">
        <v>3600</v>
      </c>
      <c r="G140" s="252">
        <f aca="true" t="shared" si="3" ref="G140:G145">E140-D140</f>
        <v>0.46659999999997126</v>
      </c>
      <c r="H140" s="155"/>
      <c r="I140" s="155">
        <f aca="true" t="shared" si="4" ref="I140:I145">ROUND(F140*G140+H140,0)</f>
        <v>1680</v>
      </c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</row>
    <row r="141" spans="1:54" ht="12.75">
      <c r="A141" s="173"/>
      <c r="B141" s="161" t="s">
        <v>495</v>
      </c>
      <c r="C141" s="213"/>
      <c r="D141" s="302"/>
      <c r="E141" s="302"/>
      <c r="F141" s="155"/>
      <c r="G141" s="252"/>
      <c r="H141" s="96"/>
      <c r="I141" s="155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</row>
    <row r="142" spans="1:54" ht="12.75">
      <c r="A142" s="173"/>
      <c r="B142" s="161"/>
      <c r="C142" s="210">
        <v>4050284</v>
      </c>
      <c r="D142" s="230">
        <v>4155.7527</v>
      </c>
      <c r="E142" s="230">
        <v>4177.6859</v>
      </c>
      <c r="F142" s="155">
        <v>3600</v>
      </c>
      <c r="G142" s="253">
        <f t="shared" si="3"/>
        <v>21.933200000000397</v>
      </c>
      <c r="H142" s="96"/>
      <c r="I142" s="155">
        <f t="shared" si="4"/>
        <v>78960</v>
      </c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</row>
    <row r="143" spans="1:54" ht="12.75">
      <c r="A143" s="144"/>
      <c r="B143" s="149"/>
      <c r="C143" s="210"/>
      <c r="D143" s="230"/>
      <c r="E143" s="230"/>
      <c r="F143" s="155"/>
      <c r="G143" s="253"/>
      <c r="H143" s="96"/>
      <c r="I143" s="155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</row>
    <row r="144" spans="1:54" ht="12.75">
      <c r="A144" s="173" t="s">
        <v>252</v>
      </c>
      <c r="B144" s="143" t="s">
        <v>218</v>
      </c>
      <c r="C144" s="152"/>
      <c r="D144" s="211"/>
      <c r="E144" s="211"/>
      <c r="F144" s="155"/>
      <c r="G144" s="212"/>
      <c r="H144" s="96"/>
      <c r="I144" s="155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</row>
    <row r="145" spans="1:54" ht="12.75">
      <c r="A145" s="307"/>
      <c r="B145" s="173" t="s">
        <v>217</v>
      </c>
      <c r="C145" s="305">
        <v>611127492</v>
      </c>
      <c r="D145" s="302">
        <v>5629.3252</v>
      </c>
      <c r="E145" s="302">
        <v>5683.1588</v>
      </c>
      <c r="F145" s="155">
        <v>20</v>
      </c>
      <c r="G145" s="252">
        <f t="shared" si="3"/>
        <v>53.83359999999993</v>
      </c>
      <c r="H145" s="155"/>
      <c r="I145" s="155">
        <f t="shared" si="4"/>
        <v>1077</v>
      </c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</row>
    <row r="146" spans="1:54" ht="12.75">
      <c r="A146" s="145" t="s">
        <v>253</v>
      </c>
      <c r="B146" s="143" t="s">
        <v>490</v>
      </c>
      <c r="C146" s="309"/>
      <c r="D146" s="211"/>
      <c r="E146" s="211"/>
      <c r="F146" s="155"/>
      <c r="G146" s="212"/>
      <c r="H146" s="96"/>
      <c r="I146" s="155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</row>
    <row r="147" spans="1:54" ht="12.75">
      <c r="A147" s="308"/>
      <c r="B147" s="168" t="s">
        <v>546</v>
      </c>
      <c r="C147" s="305">
        <v>611127702</v>
      </c>
      <c r="D147" s="302">
        <v>6815.9624</v>
      </c>
      <c r="E147" s="302">
        <v>6830.092</v>
      </c>
      <c r="F147" s="155">
        <v>60</v>
      </c>
      <c r="G147" s="252">
        <f>E147-D147</f>
        <v>14.1295999999993</v>
      </c>
      <c r="H147" s="96"/>
      <c r="I147" s="155">
        <f>ROUND(F147*G147+H147,0)</f>
        <v>848</v>
      </c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</row>
    <row r="148" spans="1:54" ht="12.75">
      <c r="A148" s="159"/>
      <c r="B148" s="168" t="s">
        <v>547</v>
      </c>
      <c r="C148" s="305">
        <v>611127555</v>
      </c>
      <c r="D148" s="302">
        <v>1147.7296</v>
      </c>
      <c r="E148" s="302">
        <v>1230.2752</v>
      </c>
      <c r="F148" s="155">
        <v>60</v>
      </c>
      <c r="G148" s="252">
        <f>E148-D148</f>
        <v>82.54560000000015</v>
      </c>
      <c r="H148" s="96"/>
      <c r="I148" s="155">
        <f>ROUND(F148*G148+H148,0)</f>
        <v>4953</v>
      </c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</row>
    <row r="149" spans="1:54" ht="12.75">
      <c r="A149" s="145" t="s">
        <v>258</v>
      </c>
      <c r="B149" s="143" t="s">
        <v>491</v>
      </c>
      <c r="C149" s="310"/>
      <c r="D149" s="232"/>
      <c r="E149" s="232"/>
      <c r="F149" s="155"/>
      <c r="G149" s="212"/>
      <c r="H149" s="96"/>
      <c r="I149" s="155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</row>
    <row r="150" spans="1:54" ht="12.75">
      <c r="A150" s="308"/>
      <c r="B150" s="173"/>
      <c r="C150" s="305">
        <v>1110171163</v>
      </c>
      <c r="D150" s="230">
        <v>247.6868</v>
      </c>
      <c r="E150" s="230">
        <v>292.176</v>
      </c>
      <c r="F150" s="155">
        <v>60</v>
      </c>
      <c r="G150" s="252">
        <f>E150-D150</f>
        <v>44.48919999999998</v>
      </c>
      <c r="H150" s="96"/>
      <c r="I150" s="155">
        <f>ROUND(F150*G150+H150,0)</f>
        <v>2669</v>
      </c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</row>
    <row r="151" spans="1:54" ht="12.75">
      <c r="A151" s="159"/>
      <c r="B151" s="173"/>
      <c r="C151" s="305"/>
      <c r="D151" s="211"/>
      <c r="E151" s="211"/>
      <c r="F151" s="155"/>
      <c r="G151" s="212"/>
      <c r="H151" s="96"/>
      <c r="I151" s="155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</row>
    <row r="152" spans="1:54" ht="12.75">
      <c r="A152" s="145" t="s">
        <v>260</v>
      </c>
      <c r="B152" s="143" t="s">
        <v>492</v>
      </c>
      <c r="C152" s="311"/>
      <c r="D152" s="232"/>
      <c r="E152" s="232"/>
      <c r="F152" s="155"/>
      <c r="G152" s="212"/>
      <c r="H152" s="96"/>
      <c r="I152" s="155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</row>
    <row r="153" spans="1:54" ht="12.75">
      <c r="A153" s="159"/>
      <c r="B153" s="173"/>
      <c r="C153" s="305">
        <v>1110171170</v>
      </c>
      <c r="D153" s="302">
        <v>154.5296</v>
      </c>
      <c r="E153" s="302">
        <v>159.1984</v>
      </c>
      <c r="F153" s="155">
        <v>40</v>
      </c>
      <c r="G153" s="252">
        <f>E153-D153</f>
        <v>4.6688000000000045</v>
      </c>
      <c r="H153" s="155"/>
      <c r="I153" s="155">
        <f>ROUND(F153*G153+H153,0)</f>
        <v>187</v>
      </c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</row>
    <row r="154" spans="1:54" ht="12.75">
      <c r="A154" s="159"/>
      <c r="B154" s="173"/>
      <c r="C154" s="305"/>
      <c r="D154" s="306"/>
      <c r="E154" s="306"/>
      <c r="F154" s="155"/>
      <c r="G154" s="212"/>
      <c r="H154" s="155"/>
      <c r="I154" s="155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</row>
    <row r="155" spans="1:54" ht="12.75">
      <c r="A155" s="143" t="s">
        <v>261</v>
      </c>
      <c r="B155" s="147" t="s">
        <v>541</v>
      </c>
      <c r="C155" s="305">
        <v>611126342</v>
      </c>
      <c r="D155" s="302">
        <v>6059.7548</v>
      </c>
      <c r="E155" s="302">
        <v>6059.7548</v>
      </c>
      <c r="F155" s="155">
        <v>1800</v>
      </c>
      <c r="G155" s="252">
        <f>E155-D155</f>
        <v>0</v>
      </c>
      <c r="H155" s="155"/>
      <c r="I155" s="155">
        <f>ROUND(F155*G155+H155,0)</f>
        <v>0</v>
      </c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</row>
    <row r="156" spans="1:54" ht="12.75">
      <c r="A156" s="173"/>
      <c r="B156" s="161" t="s">
        <v>469</v>
      </c>
      <c r="C156" s="305">
        <v>611126404</v>
      </c>
      <c r="D156" s="302">
        <v>813.7098</v>
      </c>
      <c r="E156" s="302">
        <v>825.6847</v>
      </c>
      <c r="F156" s="155">
        <v>1800</v>
      </c>
      <c r="G156" s="252">
        <f>E156-D156</f>
        <v>11.974900000000048</v>
      </c>
      <c r="H156" s="155"/>
      <c r="I156" s="155">
        <f>ROUND(F156*G156+H156,0)</f>
        <v>21555</v>
      </c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</row>
    <row r="157" spans="1:54" ht="12.75">
      <c r="A157" s="144"/>
      <c r="B157" s="149" t="s">
        <v>509</v>
      </c>
      <c r="C157" s="305">
        <v>611126334</v>
      </c>
      <c r="D157" s="302">
        <v>0.1356</v>
      </c>
      <c r="E157" s="302">
        <v>0.1356</v>
      </c>
      <c r="F157" s="155">
        <v>1800</v>
      </c>
      <c r="G157" s="252">
        <f>E157-D157</f>
        <v>0</v>
      </c>
      <c r="H157" s="96"/>
      <c r="I157" s="155">
        <f>ROUND(F157*G157+H157,0)</f>
        <v>0</v>
      </c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</row>
    <row r="158" spans="1:54" ht="12.75">
      <c r="A158" s="159" t="s">
        <v>477</v>
      </c>
      <c r="B158" s="143" t="s">
        <v>493</v>
      </c>
      <c r="C158" s="305">
        <v>611127724</v>
      </c>
      <c r="D158" s="302">
        <v>609.0524</v>
      </c>
      <c r="E158" s="302">
        <v>618.6748</v>
      </c>
      <c r="F158" s="155">
        <v>30</v>
      </c>
      <c r="G158" s="252">
        <f>E158-D158</f>
        <v>9.62239999999997</v>
      </c>
      <c r="H158" s="155"/>
      <c r="I158" s="155">
        <f>ROUND(F158*G158+H158,0)</f>
        <v>289</v>
      </c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</row>
    <row r="159" spans="1:54" ht="12.75">
      <c r="A159" s="103"/>
      <c r="B159" s="173" t="s">
        <v>540</v>
      </c>
      <c r="C159" s="305"/>
      <c r="D159" s="306"/>
      <c r="E159" s="306"/>
      <c r="F159" s="155"/>
      <c r="G159" s="212"/>
      <c r="H159" s="155"/>
      <c r="I159" s="155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</row>
    <row r="160" spans="1:54" ht="12.75">
      <c r="A160" s="96"/>
      <c r="B160" s="312"/>
      <c r="C160" s="171"/>
      <c r="D160" s="306"/>
      <c r="E160" s="306"/>
      <c r="F160" s="155"/>
      <c r="G160" s="212"/>
      <c r="H160" s="155"/>
      <c r="I160" s="155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</row>
    <row r="161" spans="1:54" ht="12.75">
      <c r="A161" s="103"/>
      <c r="B161" s="148"/>
      <c r="C161" s="150"/>
      <c r="D161" s="150"/>
      <c r="E161" s="150"/>
      <c r="F161" s="150" t="s">
        <v>264</v>
      </c>
      <c r="G161" s="150"/>
      <c r="H161" s="151"/>
      <c r="I161" s="235">
        <f>SUM(I137:I159)-I160</f>
        <v>113344</v>
      </c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</row>
    <row r="162" spans="1:54" ht="12.75">
      <c r="A162" s="102"/>
      <c r="B162" s="150"/>
      <c r="C162" s="150"/>
      <c r="D162" s="150"/>
      <c r="E162" s="150"/>
      <c r="F162" s="150"/>
      <c r="G162" s="150" t="s">
        <v>265</v>
      </c>
      <c r="H162" s="151"/>
      <c r="I162" s="235">
        <f>I103+I104+I107+I108+I109+I110-I134-I161</f>
        <v>3211781.1520000063</v>
      </c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</row>
    <row r="163" spans="1:54" ht="12.75">
      <c r="A163" s="96" t="s">
        <v>272</v>
      </c>
      <c r="B163" s="102" t="s">
        <v>266</v>
      </c>
      <c r="C163" s="150"/>
      <c r="D163" s="150"/>
      <c r="E163" s="150"/>
      <c r="F163" s="150"/>
      <c r="G163" s="150"/>
      <c r="H163" s="150"/>
      <c r="I163" s="151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</row>
    <row r="164" spans="1:54" ht="12.75">
      <c r="A164" s="143" t="s">
        <v>270</v>
      </c>
      <c r="B164" s="143" t="s">
        <v>267</v>
      </c>
      <c r="C164" s="171">
        <v>18705639</v>
      </c>
      <c r="D164" s="321">
        <v>38</v>
      </c>
      <c r="E164" s="321">
        <v>38</v>
      </c>
      <c r="F164" s="175">
        <v>30</v>
      </c>
      <c r="G164" s="322">
        <f>E164-D164</f>
        <v>0</v>
      </c>
      <c r="H164" s="143"/>
      <c r="I164" s="175">
        <f>F164*G164+H164</f>
        <v>0</v>
      </c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</row>
    <row r="165" spans="1:54" ht="12.75">
      <c r="A165" s="144"/>
      <c r="B165" s="144" t="s">
        <v>268</v>
      </c>
      <c r="C165" s="169"/>
      <c r="D165" s="144"/>
      <c r="E165" s="144"/>
      <c r="F165" s="164"/>
      <c r="G165" s="144"/>
      <c r="H165" s="144"/>
      <c r="I165" s="144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</row>
    <row r="166" spans="1:54" ht="12.75">
      <c r="A166" s="143" t="s">
        <v>271</v>
      </c>
      <c r="B166" s="143" t="s">
        <v>269</v>
      </c>
      <c r="C166" s="171">
        <v>18705843</v>
      </c>
      <c r="D166" s="321">
        <v>204.4</v>
      </c>
      <c r="E166" s="321">
        <v>204.4</v>
      </c>
      <c r="F166" s="175">
        <v>30</v>
      </c>
      <c r="G166" s="233">
        <f>E166-D166</f>
        <v>0</v>
      </c>
      <c r="H166" s="143"/>
      <c r="I166" s="175">
        <f>F166*G166+H166</f>
        <v>0</v>
      </c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</row>
    <row r="167" spans="1:54" ht="12.75">
      <c r="A167" s="144"/>
      <c r="B167" s="144" t="s">
        <v>268</v>
      </c>
      <c r="C167" s="169"/>
      <c r="D167" s="144"/>
      <c r="E167" s="144"/>
      <c r="F167" s="164"/>
      <c r="G167" s="144"/>
      <c r="H167" s="144"/>
      <c r="I167" s="144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</row>
    <row r="168" spans="1:54" ht="12.75">
      <c r="A168" s="102"/>
      <c r="B168" s="150"/>
      <c r="C168" s="217"/>
      <c r="D168" s="199"/>
      <c r="E168" s="218"/>
      <c r="F168" s="218" t="s">
        <v>273</v>
      </c>
      <c r="G168" s="219"/>
      <c r="H168" s="151"/>
      <c r="I168" s="155">
        <f>I164+I166</f>
        <v>0</v>
      </c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</row>
    <row r="169" spans="1:54" ht="12.75">
      <c r="A169" s="102"/>
      <c r="B169" s="150"/>
      <c r="C169" s="217"/>
      <c r="D169" s="199"/>
      <c r="E169" s="218"/>
      <c r="F169" s="218"/>
      <c r="G169" s="219" t="s">
        <v>274</v>
      </c>
      <c r="H169" s="151"/>
      <c r="I169" s="235">
        <f>I162+I168</f>
        <v>3211781.1520000063</v>
      </c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</row>
    <row r="170" spans="1:54" ht="12.75">
      <c r="A170" s="145" t="s">
        <v>275</v>
      </c>
      <c r="B170" s="146"/>
      <c r="C170" s="220"/>
      <c r="D170" s="202"/>
      <c r="E170" s="221"/>
      <c r="F170" s="221"/>
      <c r="G170" s="204"/>
      <c r="H170" s="146"/>
      <c r="I170" s="205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</row>
    <row r="171" spans="1:54" ht="12.75">
      <c r="A171" s="222" t="s">
        <v>538</v>
      </c>
      <c r="B171" s="223"/>
      <c r="C171" s="223"/>
      <c r="D171" s="191"/>
      <c r="E171" s="148"/>
      <c r="F171" s="148"/>
      <c r="G171" s="148"/>
      <c r="H171" s="148"/>
      <c r="I171" s="209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</row>
    <row r="172" spans="1:54" ht="12.75">
      <c r="A172" s="160" t="s">
        <v>279</v>
      </c>
      <c r="B172" s="160"/>
      <c r="C172" s="264"/>
      <c r="D172" s="181"/>
      <c r="E172" s="265"/>
      <c r="F172" s="265"/>
      <c r="G172" s="188"/>
      <c r="H172" s="160"/>
      <c r="I172" s="19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</row>
    <row r="173" spans="1:54" ht="12.75">
      <c r="A173" s="160"/>
      <c r="B173" s="160"/>
      <c r="C173" s="181"/>
      <c r="D173" s="313" t="s">
        <v>280</v>
      </c>
      <c r="E173" s="313"/>
      <c r="F173" s="314"/>
      <c r="G173" s="243"/>
      <c r="H173" s="243"/>
      <c r="I173" s="189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</row>
    <row r="174" spans="1:54" ht="12.75">
      <c r="A174" s="160"/>
      <c r="B174" s="160"/>
      <c r="C174" s="181"/>
      <c r="D174" s="313" t="s">
        <v>531</v>
      </c>
      <c r="E174" s="313"/>
      <c r="F174" s="314"/>
      <c r="G174" s="243"/>
      <c r="H174" s="243"/>
      <c r="I174" s="189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</row>
    <row r="175" spans="1:54" ht="12.75">
      <c r="A175" s="160"/>
      <c r="B175" s="160"/>
      <c r="C175" s="264"/>
      <c r="D175" s="313" t="s">
        <v>539</v>
      </c>
      <c r="E175" s="313"/>
      <c r="F175" s="314"/>
      <c r="G175" s="243"/>
      <c r="H175" s="243"/>
      <c r="I175" s="189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</row>
    <row r="176" spans="1:54" ht="12.75">
      <c r="A176" s="160"/>
      <c r="B176" s="160"/>
      <c r="C176" s="160"/>
      <c r="D176" s="160"/>
      <c r="E176" s="160"/>
      <c r="F176" s="160"/>
      <c r="G176" s="160"/>
      <c r="H176" s="160"/>
      <c r="I176" s="16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</row>
    <row r="177" spans="1:54" ht="12.75">
      <c r="A177" s="160"/>
      <c r="B177" s="160"/>
      <c r="C177" s="160"/>
      <c r="D177" s="160"/>
      <c r="E177" s="160"/>
      <c r="F177" s="160"/>
      <c r="G177" s="160"/>
      <c r="H177" s="160"/>
      <c r="I177" s="16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 t="s">
        <v>519</v>
      </c>
      <c r="BA177" s="120"/>
      <c r="BB177" s="120"/>
    </row>
    <row r="178" spans="1:54" ht="12.75">
      <c r="A178" s="160"/>
      <c r="B178" s="160"/>
      <c r="C178" s="315"/>
      <c r="D178" s="316"/>
      <c r="E178" s="316"/>
      <c r="F178" s="180"/>
      <c r="G178" s="317"/>
      <c r="H178" s="160"/>
      <c r="I178" s="18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 t="s">
        <v>513</v>
      </c>
      <c r="BA178" s="120" t="s">
        <v>109</v>
      </c>
      <c r="BB178" s="120"/>
    </row>
    <row r="179" spans="1:54" ht="12.75">
      <c r="A179" s="243"/>
      <c r="B179" s="160"/>
      <c r="C179" s="315"/>
      <c r="D179" s="316"/>
      <c r="E179" s="316"/>
      <c r="F179" s="180"/>
      <c r="G179" s="317"/>
      <c r="H179" s="160"/>
      <c r="I179" s="18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 t="s">
        <v>510</v>
      </c>
      <c r="AZ179" s="301">
        <f>AZ183+AZ184+AZ185</f>
        <v>3070654</v>
      </c>
      <c r="BA179" s="370">
        <f>AZ179*2.9</f>
        <v>8904896.6</v>
      </c>
      <c r="BB179" s="120"/>
    </row>
    <row r="180" spans="1:54" ht="12.75">
      <c r="A180" s="160"/>
      <c r="B180" s="160"/>
      <c r="C180" s="160"/>
      <c r="D180" s="160"/>
      <c r="E180" s="160"/>
      <c r="F180" s="160"/>
      <c r="G180" s="160"/>
      <c r="H180" s="160"/>
      <c r="I180" s="16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 t="s">
        <v>511</v>
      </c>
      <c r="AZ180" s="301">
        <f>AZ187-AZ179-AZ181</f>
        <v>3135023</v>
      </c>
      <c r="BA180" s="370">
        <f>AZ180*2.9</f>
        <v>9091566.7</v>
      </c>
      <c r="BB180" s="120"/>
    </row>
    <row r="181" spans="1:54" ht="12.75">
      <c r="A181" s="160"/>
      <c r="B181" s="160"/>
      <c r="C181" s="160"/>
      <c r="D181" s="160"/>
      <c r="E181" s="160"/>
      <c r="F181" s="160"/>
      <c r="G181" s="160"/>
      <c r="H181" s="160"/>
      <c r="I181" s="16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 t="s">
        <v>512</v>
      </c>
      <c r="AZ181" s="301">
        <f>AZ186</f>
        <v>163780</v>
      </c>
      <c r="BA181" s="370">
        <f>AZ181*2.9</f>
        <v>474962</v>
      </c>
      <c r="BB181" s="120"/>
    </row>
    <row r="182" spans="52:53" ht="12.75">
      <c r="AZ182" s="368"/>
      <c r="BA182" s="368"/>
    </row>
    <row r="183" spans="51:53" ht="12.75">
      <c r="AY183" s="120" t="s">
        <v>514</v>
      </c>
      <c r="AZ183" s="369">
        <v>2742934</v>
      </c>
      <c r="BA183" s="368"/>
    </row>
    <row r="184" spans="51:53" ht="12.75">
      <c r="AY184" s="120" t="s">
        <v>515</v>
      </c>
      <c r="AZ184" s="369">
        <f>AZ95</f>
        <v>145867</v>
      </c>
      <c r="BA184" s="368"/>
    </row>
    <row r="185" spans="51:53" ht="12.75">
      <c r="AY185" s="120" t="s">
        <v>517</v>
      </c>
      <c r="AZ185" s="369">
        <v>181853</v>
      </c>
      <c r="BA185" s="368"/>
    </row>
    <row r="186" spans="51:53" ht="12.75">
      <c r="AY186" s="120" t="s">
        <v>518</v>
      </c>
      <c r="AZ186" s="369">
        <v>163780</v>
      </c>
      <c r="BA186" s="368"/>
    </row>
    <row r="187" spans="51:52" ht="12.75">
      <c r="AY187" s="120" t="s">
        <v>516</v>
      </c>
      <c r="AZ187" s="369">
        <f>AZ131</f>
        <v>6369457</v>
      </c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 t="s">
        <v>552</v>
      </c>
      <c r="C196" s="4"/>
      <c r="D196" s="380">
        <v>42275.12</v>
      </c>
      <c r="E196" s="380">
        <v>42297.69</v>
      </c>
      <c r="F196" s="380">
        <v>1800</v>
      </c>
      <c r="G196" s="380">
        <f>E196-D196</f>
        <v>22.56999999999971</v>
      </c>
      <c r="H196" s="380"/>
      <c r="I196" s="155">
        <f>ROUND(F196*G196+H196,0)</f>
        <v>40626</v>
      </c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2.75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2.75">
      <c r="A200" s="11"/>
      <c r="B200" s="11"/>
      <c r="C200" s="11"/>
      <c r="D200" s="11"/>
      <c r="E200" s="11"/>
      <c r="F200" s="11"/>
      <c r="G200" s="11"/>
      <c r="H200" s="11"/>
      <c r="I200" s="11"/>
    </row>
    <row r="201" spans="1:9" ht="12.75">
      <c r="A201" s="11"/>
      <c r="B201" s="11"/>
      <c r="C201" s="11"/>
      <c r="D201" s="11"/>
      <c r="E201" s="10"/>
      <c r="F201" s="10"/>
      <c r="G201" s="11"/>
      <c r="H201" s="11"/>
      <c r="I201" s="11"/>
    </row>
    <row r="202" spans="1:9" ht="12.75">
      <c r="A202" s="48"/>
      <c r="B202" s="48"/>
      <c r="C202" s="48"/>
      <c r="D202" s="48"/>
      <c r="E202" s="48"/>
      <c r="F202" s="48"/>
      <c r="G202" s="48"/>
      <c r="H202" s="48"/>
      <c r="I202" s="48"/>
    </row>
    <row r="203" spans="1:9" ht="12.75">
      <c r="A203" s="11"/>
      <c r="B203" s="11"/>
      <c r="C203" s="11"/>
      <c r="D203" s="11"/>
      <c r="E203" s="64"/>
      <c r="F203" s="64"/>
      <c r="G203" s="11"/>
      <c r="H203" s="11"/>
      <c r="I203" s="65"/>
    </row>
    <row r="204" spans="1:9" ht="12.75">
      <c r="A204" s="11"/>
      <c r="B204" s="11"/>
      <c r="C204" s="11"/>
      <c r="D204" s="66"/>
      <c r="E204" s="64"/>
      <c r="F204" s="11"/>
      <c r="G204" s="11"/>
      <c r="H204" s="11"/>
      <c r="I204" s="65"/>
    </row>
    <row r="205" spans="1:9" ht="12.75">
      <c r="A205" s="11"/>
      <c r="B205" s="11"/>
      <c r="C205" s="11"/>
      <c r="D205" s="11"/>
      <c r="E205" s="11"/>
      <c r="F205" s="11"/>
      <c r="G205" s="11"/>
      <c r="H205" s="11"/>
      <c r="I205" s="65"/>
    </row>
    <row r="206" spans="1:9" ht="12.75">
      <c r="A206" s="48"/>
      <c r="B206" s="11"/>
      <c r="C206" s="11"/>
      <c r="D206" s="11"/>
      <c r="E206" s="11"/>
      <c r="F206" s="11"/>
      <c r="G206" s="11"/>
      <c r="H206" s="11"/>
      <c r="I206" s="65"/>
    </row>
    <row r="207" spans="1:9" ht="12.75">
      <c r="A207" s="67"/>
      <c r="B207" s="67"/>
      <c r="C207" s="67"/>
      <c r="D207" s="67"/>
      <c r="E207" s="67"/>
      <c r="F207" s="67"/>
      <c r="G207" s="67"/>
      <c r="H207" s="67"/>
      <c r="I207" s="68"/>
    </row>
    <row r="208" spans="1:9" ht="12.75">
      <c r="A208" s="11"/>
      <c r="B208" s="11"/>
      <c r="C208" s="11"/>
      <c r="D208" s="11"/>
      <c r="E208" s="11"/>
      <c r="F208" s="11"/>
      <c r="G208" s="11"/>
      <c r="H208" s="11"/>
      <c r="I208" s="65"/>
    </row>
    <row r="209" spans="1:9" ht="12.75">
      <c r="A209" s="11"/>
      <c r="B209" s="11"/>
      <c r="C209" s="11"/>
      <c r="D209" s="11"/>
      <c r="E209" s="11"/>
      <c r="F209" s="11"/>
      <c r="G209" s="11"/>
      <c r="H209" s="11"/>
      <c r="I209" s="65"/>
    </row>
    <row r="210" spans="1:9" ht="12.75">
      <c r="A210" s="11"/>
      <c r="B210" s="11"/>
      <c r="C210" s="11"/>
      <c r="D210" s="11"/>
      <c r="E210" s="11"/>
      <c r="F210" s="11"/>
      <c r="G210" s="11"/>
      <c r="H210" s="11"/>
      <c r="I210" s="65"/>
    </row>
    <row r="211" spans="1:9" ht="12.75">
      <c r="A211" s="11"/>
      <c r="B211" s="11"/>
      <c r="C211" s="11"/>
      <c r="D211" s="11"/>
      <c r="E211" s="11"/>
      <c r="F211" s="11"/>
      <c r="G211" s="11"/>
      <c r="H211" s="11"/>
      <c r="I211" s="11"/>
    </row>
    <row r="212" spans="1:9" ht="12.75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 ht="13.5">
      <c r="A213" s="31"/>
      <c r="B213" s="48"/>
      <c r="C213" s="48"/>
      <c r="D213" s="48"/>
      <c r="E213" s="48"/>
      <c r="F213" s="48"/>
      <c r="G213" s="69"/>
      <c r="H213" s="48"/>
      <c r="I213" s="11"/>
    </row>
    <row r="214" spans="1:9" ht="12.75">
      <c r="A214" s="11"/>
      <c r="B214" s="11"/>
      <c r="C214" s="11"/>
      <c r="D214" s="11"/>
      <c r="E214" s="11"/>
      <c r="F214" s="11"/>
      <c r="G214" s="11"/>
      <c r="H214" s="11"/>
      <c r="I214" s="11"/>
    </row>
    <row r="215" spans="1:9" ht="12.75">
      <c r="A215" s="11"/>
      <c r="B215" s="11"/>
      <c r="C215" s="11"/>
      <c r="D215" s="11"/>
      <c r="E215" s="11"/>
      <c r="F215" s="11"/>
      <c r="G215" s="11"/>
      <c r="H215" s="11"/>
      <c r="I215" s="11"/>
    </row>
    <row r="216" spans="1:9" ht="12.7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2.7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2.75">
      <c r="A218" s="4"/>
      <c r="B218" s="3"/>
      <c r="C218" s="3"/>
      <c r="D218" s="3"/>
      <c r="E218" s="3"/>
      <c r="F218" s="3"/>
      <c r="G218" s="3"/>
      <c r="H218" s="3"/>
      <c r="I218" s="3"/>
    </row>
    <row r="219" spans="1:9" ht="12.75">
      <c r="A219" s="3"/>
      <c r="B219" s="3"/>
      <c r="C219" s="3"/>
      <c r="D219" s="3"/>
      <c r="E219" s="4"/>
      <c r="F219" s="3"/>
      <c r="G219" s="3"/>
      <c r="H219" s="3"/>
      <c r="I219" s="3"/>
    </row>
    <row r="220" spans="1:9" ht="12.75">
      <c r="A220" s="4"/>
      <c r="B220" s="4"/>
      <c r="C220" s="4"/>
      <c r="D220" s="4"/>
      <c r="E220" s="4"/>
      <c r="F220" s="4"/>
      <c r="G220" s="4"/>
      <c r="H220" s="4"/>
      <c r="I220" s="4"/>
    </row>
  </sheetData>
  <sheetProtection/>
  <printOptions/>
  <pageMargins left="0.7874015748031497" right="0.1968503937007874" top="0.1968503937007874" bottom="0.1968503937007874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210"/>
  <sheetViews>
    <sheetView zoomScalePageLayoutView="0" workbookViewId="0" topLeftCell="A1">
      <selection activeCell="E189" sqref="E189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25390625" style="0" customWidth="1"/>
    <col min="4" max="5" width="11.00390625" style="0" customWidth="1"/>
    <col min="6" max="6" width="9.375" style="0" customWidth="1"/>
    <col min="7" max="7" width="9.25390625" style="0" customWidth="1"/>
    <col min="9" max="9" width="12.25390625" style="0" customWidth="1"/>
    <col min="10" max="10" width="6.75390625" style="0" customWidth="1"/>
    <col min="11" max="11" width="36.375" style="0" customWidth="1"/>
    <col min="12" max="12" width="16.125" style="0" customWidth="1"/>
    <col min="13" max="14" width="11.125" style="0" customWidth="1"/>
    <col min="15" max="15" width="9.625" style="0" customWidth="1"/>
    <col min="16" max="16" width="10.25390625" style="0" customWidth="1"/>
    <col min="17" max="17" width="10.125" style="0" customWidth="1"/>
    <col min="18" max="18" width="11.625" style="0" customWidth="1"/>
    <col min="19" max="19" width="6.375" style="0" customWidth="1"/>
    <col min="21" max="21" width="13.00390625" style="0" customWidth="1"/>
    <col min="22" max="22" width="24.875" style="0" customWidth="1"/>
    <col min="23" max="23" width="14.25390625" style="0" customWidth="1"/>
    <col min="24" max="24" width="13.875" style="0" customWidth="1"/>
    <col min="25" max="25" width="12.75390625" style="0" customWidth="1"/>
    <col min="26" max="27" width="12.875" style="0" customWidth="1"/>
    <col min="28" max="28" width="6.75390625" style="0" customWidth="1"/>
    <col min="29" max="29" width="10.875" style="0" customWidth="1"/>
    <col min="31" max="31" width="27.00390625" style="0" customWidth="1"/>
    <col min="32" max="34" width="13.25390625" style="0" customWidth="1"/>
    <col min="35" max="36" width="13.875" style="0" customWidth="1"/>
    <col min="37" max="37" width="6.875" style="0" customWidth="1"/>
    <col min="40" max="40" width="25.125" style="0" customWidth="1"/>
    <col min="41" max="45" width="13.375" style="0" customWidth="1"/>
    <col min="51" max="51" width="20.00390625" style="0" customWidth="1"/>
    <col min="52" max="52" width="18.25390625" style="0" customWidth="1"/>
    <col min="53" max="53" width="15.25390625" style="0" customWidth="1"/>
    <col min="54" max="54" width="18.125" style="0" customWidth="1"/>
  </cols>
  <sheetData>
    <row r="1" spans="1:54" ht="12.7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60"/>
      <c r="T1" s="160"/>
      <c r="U1" s="160"/>
      <c r="V1" s="160"/>
      <c r="W1" s="160"/>
      <c r="X1" s="160"/>
      <c r="Y1" s="160"/>
      <c r="Z1" s="160"/>
      <c r="AA1" s="16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60"/>
      <c r="AU1" s="120"/>
      <c r="AV1" s="120"/>
      <c r="AW1" s="120"/>
      <c r="AX1" s="120"/>
      <c r="AY1" s="120"/>
      <c r="AZ1" s="120"/>
      <c r="BA1" s="120"/>
      <c r="BB1" s="120"/>
    </row>
    <row r="2" spans="1:54" ht="12.75">
      <c r="A2" s="120"/>
      <c r="B2" s="120"/>
      <c r="C2" s="120"/>
      <c r="D2" s="120" t="s">
        <v>192</v>
      </c>
      <c r="E2" s="120"/>
      <c r="F2" s="120"/>
      <c r="G2" s="120"/>
      <c r="H2" s="120"/>
      <c r="I2" s="120"/>
      <c r="J2" s="120"/>
      <c r="K2" s="120"/>
      <c r="L2" s="120"/>
      <c r="M2" s="120" t="s">
        <v>288</v>
      </c>
      <c r="N2" s="120"/>
      <c r="O2" s="120"/>
      <c r="P2" s="120"/>
      <c r="Q2" s="120"/>
      <c r="R2" s="120"/>
      <c r="S2" s="160"/>
      <c r="T2" s="160"/>
      <c r="U2" s="160"/>
      <c r="V2" s="160"/>
      <c r="W2" s="160"/>
      <c r="X2" s="160"/>
      <c r="Y2" s="160"/>
      <c r="Z2" s="160"/>
      <c r="AA2" s="160"/>
      <c r="AB2" s="120" t="s">
        <v>325</v>
      </c>
      <c r="AC2" s="120"/>
      <c r="AD2" s="120"/>
      <c r="AE2" s="120"/>
      <c r="AF2" s="120"/>
      <c r="AG2" s="120"/>
      <c r="AH2" s="120"/>
      <c r="AI2" s="120"/>
      <c r="AJ2" s="120"/>
      <c r="AK2" s="120" t="s">
        <v>325</v>
      </c>
      <c r="AL2" s="120"/>
      <c r="AM2" s="120"/>
      <c r="AN2" s="120"/>
      <c r="AO2" s="120"/>
      <c r="AP2" s="120"/>
      <c r="AQ2" s="120"/>
      <c r="AR2" s="120"/>
      <c r="AS2" s="120"/>
      <c r="AT2" s="160" t="s">
        <v>530</v>
      </c>
      <c r="AU2" s="120"/>
      <c r="AV2" s="120"/>
      <c r="AW2" s="120"/>
      <c r="AX2" s="120"/>
      <c r="AY2" s="120"/>
      <c r="AZ2" s="120"/>
      <c r="BA2" s="120"/>
      <c r="BB2" s="120"/>
    </row>
    <row r="3" spans="1:54" ht="12.75">
      <c r="A3" s="120"/>
      <c r="B3" s="120"/>
      <c r="C3" s="120"/>
      <c r="D3" s="120" t="s">
        <v>193</v>
      </c>
      <c r="E3" s="120"/>
      <c r="F3" s="120"/>
      <c r="G3" s="120"/>
      <c r="H3" s="120"/>
      <c r="I3" s="120"/>
      <c r="J3" s="120"/>
      <c r="K3" s="120"/>
      <c r="L3" s="120"/>
      <c r="M3" s="120" t="s">
        <v>289</v>
      </c>
      <c r="N3" s="120"/>
      <c r="O3" s="120"/>
      <c r="P3" s="120"/>
      <c r="Q3" s="120"/>
      <c r="R3" s="120"/>
      <c r="S3" s="120" t="s">
        <v>325</v>
      </c>
      <c r="T3" s="120"/>
      <c r="U3" s="120"/>
      <c r="V3" s="120"/>
      <c r="W3" s="120"/>
      <c r="X3" s="120"/>
      <c r="Y3" s="120"/>
      <c r="Z3" s="120"/>
      <c r="AA3" s="120"/>
      <c r="AB3" s="120" t="s">
        <v>324</v>
      </c>
      <c r="AC3" s="120"/>
      <c r="AD3" s="120"/>
      <c r="AE3" s="120"/>
      <c r="AF3" s="120"/>
      <c r="AG3" s="120"/>
      <c r="AH3" s="120"/>
      <c r="AI3" s="120"/>
      <c r="AJ3" s="120"/>
      <c r="AK3" s="120" t="s">
        <v>324</v>
      </c>
      <c r="AL3" s="120"/>
      <c r="AM3" s="120"/>
      <c r="AN3" s="120"/>
      <c r="AO3" s="120"/>
      <c r="AP3" s="120"/>
      <c r="AQ3" s="120"/>
      <c r="AR3" s="120"/>
      <c r="AS3" s="120"/>
      <c r="AT3" s="160" t="s">
        <v>532</v>
      </c>
      <c r="AU3" s="120"/>
      <c r="AV3" s="120"/>
      <c r="AW3" s="120"/>
      <c r="AX3" s="120"/>
      <c r="AY3" s="120"/>
      <c r="AZ3" s="120"/>
      <c r="BA3" s="120"/>
      <c r="BB3" s="120"/>
    </row>
    <row r="4" spans="1:54" ht="13.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 t="s">
        <v>324</v>
      </c>
      <c r="T4" s="120"/>
      <c r="U4" s="120"/>
      <c r="V4" s="120"/>
      <c r="W4" s="120"/>
      <c r="X4" s="120"/>
      <c r="Y4" s="120"/>
      <c r="Z4" s="120"/>
      <c r="AA4" s="120"/>
      <c r="AB4" s="120" t="s">
        <v>326</v>
      </c>
      <c r="AC4" s="120"/>
      <c r="AD4" s="120"/>
      <c r="AE4" s="120"/>
      <c r="AF4" s="120"/>
      <c r="AG4" s="120"/>
      <c r="AH4" s="120"/>
      <c r="AI4" s="120"/>
      <c r="AJ4" s="120"/>
      <c r="AK4" s="120" t="s">
        <v>326</v>
      </c>
      <c r="AL4" s="120"/>
      <c r="AM4" s="120"/>
      <c r="AN4" s="120"/>
      <c r="AO4" s="120"/>
      <c r="AP4" s="120"/>
      <c r="AQ4" s="120"/>
      <c r="AR4" s="120"/>
      <c r="AS4" s="120"/>
      <c r="AT4" s="160"/>
      <c r="AU4" s="120" t="s">
        <v>400</v>
      </c>
      <c r="AV4" s="120"/>
      <c r="AW4" s="120"/>
      <c r="AX4" s="120"/>
      <c r="AY4" s="254" t="s">
        <v>387</v>
      </c>
      <c r="AZ4" s="254" t="s">
        <v>555</v>
      </c>
      <c r="BA4" s="120"/>
      <c r="BB4" s="120"/>
    </row>
    <row r="5" spans="1:54" ht="12.75">
      <c r="A5" s="120"/>
      <c r="B5" s="120"/>
      <c r="C5" s="120" t="s">
        <v>194</v>
      </c>
      <c r="D5" s="120"/>
      <c r="E5" s="120"/>
      <c r="F5" s="120"/>
      <c r="G5" s="120"/>
      <c r="H5" s="120"/>
      <c r="I5" s="120"/>
      <c r="J5" s="120"/>
      <c r="K5" s="120"/>
      <c r="L5" s="120" t="s">
        <v>194</v>
      </c>
      <c r="M5" s="120"/>
      <c r="N5" s="120"/>
      <c r="O5" s="120"/>
      <c r="P5" s="120"/>
      <c r="Q5" s="120"/>
      <c r="R5" s="120"/>
      <c r="S5" s="120" t="s">
        <v>326</v>
      </c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45"/>
      <c r="AU5" s="146" t="s">
        <v>405</v>
      </c>
      <c r="AV5" s="146"/>
      <c r="AW5" s="146"/>
      <c r="AX5" s="146"/>
      <c r="AY5" s="146"/>
      <c r="AZ5" s="145" t="s">
        <v>406</v>
      </c>
      <c r="BA5" s="145" t="s">
        <v>407</v>
      </c>
      <c r="BB5" s="143" t="s">
        <v>364</v>
      </c>
    </row>
    <row r="6" spans="1:54" ht="12.75">
      <c r="A6" s="120"/>
      <c r="B6" s="120"/>
      <c r="C6" s="120"/>
      <c r="D6" s="277" t="s">
        <v>572</v>
      </c>
      <c r="E6" s="277"/>
      <c r="F6" s="120"/>
      <c r="G6" s="120"/>
      <c r="H6" s="120"/>
      <c r="I6" s="120"/>
      <c r="J6" s="120"/>
      <c r="K6" s="120"/>
      <c r="L6" s="120"/>
      <c r="M6" s="277" t="s">
        <v>572</v>
      </c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59"/>
      <c r="AU6" s="160"/>
      <c r="AV6" s="160"/>
      <c r="AW6" s="160"/>
      <c r="AX6" s="160"/>
      <c r="AY6" s="160"/>
      <c r="AZ6" s="159" t="s">
        <v>413</v>
      </c>
      <c r="BA6" s="159" t="s">
        <v>177</v>
      </c>
      <c r="BB6" s="173" t="s">
        <v>80</v>
      </c>
    </row>
    <row r="7" spans="1:54" ht="12.75">
      <c r="A7" s="120" t="s">
        <v>528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59"/>
      <c r="AU7" s="160"/>
      <c r="AV7" s="160"/>
      <c r="AW7" s="160"/>
      <c r="AX7" s="160"/>
      <c r="AY7" s="160"/>
      <c r="AZ7" s="103" t="s">
        <v>178</v>
      </c>
      <c r="BA7" s="103"/>
      <c r="BB7" s="144" t="s">
        <v>81</v>
      </c>
    </row>
    <row r="8" spans="1:54" ht="12.75">
      <c r="A8" s="120" t="s">
        <v>196</v>
      </c>
      <c r="B8" s="120"/>
      <c r="C8" s="120"/>
      <c r="D8" s="120"/>
      <c r="E8" s="120"/>
      <c r="F8" s="120"/>
      <c r="G8" s="120"/>
      <c r="H8" s="120"/>
      <c r="I8" s="120"/>
      <c r="J8" s="120" t="s">
        <v>528</v>
      </c>
      <c r="K8" s="120"/>
      <c r="L8" s="120"/>
      <c r="M8" s="120"/>
      <c r="N8" s="120"/>
      <c r="O8" s="120"/>
      <c r="P8" s="120"/>
      <c r="Q8" s="120"/>
      <c r="R8" s="120"/>
      <c r="S8" s="120" t="s">
        <v>357</v>
      </c>
      <c r="T8" s="120"/>
      <c r="U8" s="120"/>
      <c r="V8" s="120"/>
      <c r="W8" s="120"/>
      <c r="X8" s="120"/>
      <c r="Y8" s="120"/>
      <c r="Z8" s="120"/>
      <c r="AA8" s="120"/>
      <c r="AB8" s="120" t="s">
        <v>357</v>
      </c>
      <c r="AC8" s="120"/>
      <c r="AD8" s="120"/>
      <c r="AE8" s="120"/>
      <c r="AF8" s="120"/>
      <c r="AG8" s="120"/>
      <c r="AH8" s="120"/>
      <c r="AI8" s="120"/>
      <c r="AJ8" s="120"/>
      <c r="AK8" s="120" t="s">
        <v>357</v>
      </c>
      <c r="AL8" s="120"/>
      <c r="AM8" s="120"/>
      <c r="AN8" s="120"/>
      <c r="AO8" s="120"/>
      <c r="AP8" s="120"/>
      <c r="AQ8" s="120"/>
      <c r="AR8" s="120"/>
      <c r="AS8" s="120"/>
      <c r="AT8" s="145" t="s">
        <v>45</v>
      </c>
      <c r="AU8" s="146"/>
      <c r="AV8" s="146"/>
      <c r="AW8" s="146"/>
      <c r="AX8" s="146"/>
      <c r="AY8" s="147"/>
      <c r="AZ8" s="187">
        <f>I16+I17+I20+I22+I77</f>
        <v>9794776.599999988</v>
      </c>
      <c r="BA8" s="278"/>
      <c r="BB8" s="279">
        <f>BB9+BB14</f>
        <v>17425319.441842005</v>
      </c>
    </row>
    <row r="9" spans="1:54" ht="12.75">
      <c r="A9" s="120" t="s">
        <v>198</v>
      </c>
      <c r="B9" s="120"/>
      <c r="C9" s="120"/>
      <c r="D9" s="120"/>
      <c r="E9" s="120"/>
      <c r="F9" s="120" t="s">
        <v>197</v>
      </c>
      <c r="G9" s="120"/>
      <c r="H9" s="120"/>
      <c r="I9" s="120"/>
      <c r="J9" s="120" t="s">
        <v>196</v>
      </c>
      <c r="K9" s="120"/>
      <c r="L9" s="120"/>
      <c r="M9" s="120"/>
      <c r="N9" s="120"/>
      <c r="O9" s="120" t="s">
        <v>197</v>
      </c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255" t="s">
        <v>383</v>
      </c>
      <c r="AU9" s="256"/>
      <c r="AV9" s="256"/>
      <c r="AW9" s="256"/>
      <c r="AX9" s="146"/>
      <c r="AY9" s="147"/>
      <c r="AZ9" s="280">
        <f>AZ11+AZ12</f>
        <v>6120743</v>
      </c>
      <c r="BA9" s="281">
        <f>(BB12+BB11)/AZ9</f>
        <v>2.8467179009558157</v>
      </c>
      <c r="BB9" s="279">
        <f>BB10+BB11+BB12+BB13</f>
        <v>17424028.665250003</v>
      </c>
    </row>
    <row r="10" spans="1:54" ht="12.75">
      <c r="A10" s="143" t="s">
        <v>335</v>
      </c>
      <c r="B10" s="171" t="s">
        <v>199</v>
      </c>
      <c r="C10" s="143" t="s">
        <v>200</v>
      </c>
      <c r="D10" s="224" t="s">
        <v>286</v>
      </c>
      <c r="E10" s="225"/>
      <c r="F10" s="143" t="s">
        <v>201</v>
      </c>
      <c r="G10" s="143" t="s">
        <v>404</v>
      </c>
      <c r="H10" s="143" t="s">
        <v>202</v>
      </c>
      <c r="I10" s="143" t="s">
        <v>191</v>
      </c>
      <c r="J10" s="120" t="s">
        <v>198</v>
      </c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277" t="s">
        <v>573</v>
      </c>
      <c r="Z10" s="120"/>
      <c r="AA10" s="120"/>
      <c r="AB10" s="120"/>
      <c r="AC10" s="120"/>
      <c r="AD10" s="120"/>
      <c r="AE10" s="120"/>
      <c r="AF10" s="120"/>
      <c r="AG10" s="120"/>
      <c r="AH10" s="277" t="s">
        <v>573</v>
      </c>
      <c r="AI10" s="120"/>
      <c r="AJ10" s="120"/>
      <c r="AK10" s="120"/>
      <c r="AL10" s="120"/>
      <c r="AM10" s="120"/>
      <c r="AN10" s="120"/>
      <c r="AO10" s="120"/>
      <c r="AP10" s="120"/>
      <c r="AQ10" s="277" t="s">
        <v>573</v>
      </c>
      <c r="AR10" s="120"/>
      <c r="AS10" s="120"/>
      <c r="AT10" s="145" t="s">
        <v>179</v>
      </c>
      <c r="AU10" s="146"/>
      <c r="AV10" s="146"/>
      <c r="AW10" s="146"/>
      <c r="AX10" s="146"/>
      <c r="AY10" s="147"/>
      <c r="AZ10" s="282"/>
      <c r="BA10" s="283">
        <v>0</v>
      </c>
      <c r="BB10" s="284">
        <f>AZ10*BA10</f>
        <v>0</v>
      </c>
    </row>
    <row r="11" spans="1:54" ht="12.75">
      <c r="A11" s="173"/>
      <c r="B11" s="173"/>
      <c r="C11" s="173"/>
      <c r="D11" s="143" t="s">
        <v>203</v>
      </c>
      <c r="E11" s="145" t="s">
        <v>204</v>
      </c>
      <c r="F11" s="173" t="s">
        <v>205</v>
      </c>
      <c r="G11" s="173" t="s">
        <v>190</v>
      </c>
      <c r="H11" s="173"/>
      <c r="I11" s="173" t="s">
        <v>206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45" t="s">
        <v>180</v>
      </c>
      <c r="AU11" s="146"/>
      <c r="AV11" s="146"/>
      <c r="AW11" s="146"/>
      <c r="AX11" s="146"/>
      <c r="AY11" s="147"/>
      <c r="AZ11" s="155">
        <f>I81+I73</f>
        <v>3608</v>
      </c>
      <c r="BA11" s="285">
        <v>4.55555</v>
      </c>
      <c r="BB11" s="284">
        <f>AZ11*BA11</f>
        <v>16436.4244</v>
      </c>
    </row>
    <row r="12" spans="1:54" ht="12.75">
      <c r="A12" s="144"/>
      <c r="B12" s="144"/>
      <c r="C12" s="144"/>
      <c r="D12" s="144" t="s">
        <v>207</v>
      </c>
      <c r="E12" s="103" t="s">
        <v>207</v>
      </c>
      <c r="F12" s="144" t="s">
        <v>208</v>
      </c>
      <c r="G12" s="144"/>
      <c r="H12" s="144"/>
      <c r="I12" s="144"/>
      <c r="J12" s="143" t="s">
        <v>335</v>
      </c>
      <c r="K12" s="171" t="s">
        <v>199</v>
      </c>
      <c r="L12" s="143" t="s">
        <v>200</v>
      </c>
      <c r="M12" s="224" t="s">
        <v>464</v>
      </c>
      <c r="N12" s="225"/>
      <c r="O12" s="143" t="s">
        <v>201</v>
      </c>
      <c r="P12" s="143" t="s">
        <v>404</v>
      </c>
      <c r="Q12" s="143" t="s">
        <v>202</v>
      </c>
      <c r="R12" s="143" t="s">
        <v>191</v>
      </c>
      <c r="S12" s="143" t="s">
        <v>335</v>
      </c>
      <c r="T12" s="145" t="s">
        <v>336</v>
      </c>
      <c r="U12" s="146"/>
      <c r="V12" s="147"/>
      <c r="W12" s="102" t="s">
        <v>337</v>
      </c>
      <c r="X12" s="150"/>
      <c r="Y12" s="150"/>
      <c r="Z12" s="150"/>
      <c r="AA12" s="151"/>
      <c r="AB12" s="143" t="s">
        <v>335</v>
      </c>
      <c r="AC12" s="145" t="s">
        <v>336</v>
      </c>
      <c r="AD12" s="146"/>
      <c r="AE12" s="147"/>
      <c r="AF12" s="102" t="s">
        <v>337</v>
      </c>
      <c r="AG12" s="150"/>
      <c r="AH12" s="150"/>
      <c r="AI12" s="150"/>
      <c r="AJ12" s="151"/>
      <c r="AK12" s="143" t="s">
        <v>335</v>
      </c>
      <c r="AL12" s="145" t="s">
        <v>336</v>
      </c>
      <c r="AM12" s="146"/>
      <c r="AN12" s="147"/>
      <c r="AO12" s="102" t="s">
        <v>337</v>
      </c>
      <c r="AP12" s="150"/>
      <c r="AQ12" s="150"/>
      <c r="AR12" s="150"/>
      <c r="AS12" s="151"/>
      <c r="AT12" s="145" t="s">
        <v>181</v>
      </c>
      <c r="AU12" s="146"/>
      <c r="AV12" s="146"/>
      <c r="AW12" s="146"/>
      <c r="AX12" s="146"/>
      <c r="AY12" s="147"/>
      <c r="AZ12" s="280">
        <f>I75</f>
        <v>6117135</v>
      </c>
      <c r="BA12" s="286">
        <v>2.84571</v>
      </c>
      <c r="BB12" s="284">
        <f>AZ12*BA12</f>
        <v>17407592.24085</v>
      </c>
    </row>
    <row r="13" spans="1:54" ht="12.75">
      <c r="A13" s="152">
        <v>1</v>
      </c>
      <c r="B13" s="152">
        <v>2</v>
      </c>
      <c r="C13" s="152">
        <v>3</v>
      </c>
      <c r="D13" s="152">
        <v>4</v>
      </c>
      <c r="E13" s="152">
        <v>5</v>
      </c>
      <c r="F13" s="152">
        <v>6</v>
      </c>
      <c r="G13" s="152">
        <v>7</v>
      </c>
      <c r="H13" s="152">
        <v>8</v>
      </c>
      <c r="I13" s="152">
        <v>9</v>
      </c>
      <c r="J13" s="173"/>
      <c r="K13" s="173"/>
      <c r="L13" s="173"/>
      <c r="M13" s="143" t="s">
        <v>203</v>
      </c>
      <c r="N13" s="145" t="s">
        <v>204</v>
      </c>
      <c r="O13" s="173" t="s">
        <v>205</v>
      </c>
      <c r="P13" s="173" t="s">
        <v>190</v>
      </c>
      <c r="Q13" s="173"/>
      <c r="R13" s="173" t="s">
        <v>206</v>
      </c>
      <c r="S13" s="144"/>
      <c r="T13" s="103"/>
      <c r="U13" s="148"/>
      <c r="V13" s="149"/>
      <c r="W13" s="152" t="s">
        <v>338</v>
      </c>
      <c r="X13" s="152" t="s">
        <v>339</v>
      </c>
      <c r="Y13" s="152" t="s">
        <v>340</v>
      </c>
      <c r="Z13" s="152" t="s">
        <v>341</v>
      </c>
      <c r="AA13" s="152" t="s">
        <v>342</v>
      </c>
      <c r="AB13" s="144"/>
      <c r="AC13" s="103"/>
      <c r="AD13" s="148"/>
      <c r="AE13" s="149"/>
      <c r="AF13" s="152" t="s">
        <v>338</v>
      </c>
      <c r="AG13" s="152" t="s">
        <v>339</v>
      </c>
      <c r="AH13" s="152" t="s">
        <v>340</v>
      </c>
      <c r="AI13" s="152" t="s">
        <v>341</v>
      </c>
      <c r="AJ13" s="152" t="s">
        <v>342</v>
      </c>
      <c r="AK13" s="144"/>
      <c r="AL13" s="103"/>
      <c r="AM13" s="148"/>
      <c r="AN13" s="149"/>
      <c r="AO13" s="152" t="s">
        <v>338</v>
      </c>
      <c r="AP13" s="152" t="s">
        <v>339</v>
      </c>
      <c r="AQ13" s="152" t="s">
        <v>340</v>
      </c>
      <c r="AR13" s="152" t="s">
        <v>341</v>
      </c>
      <c r="AS13" s="152" t="s">
        <v>342</v>
      </c>
      <c r="AT13" s="102" t="s">
        <v>173</v>
      </c>
      <c r="AU13" s="150"/>
      <c r="AV13" s="150"/>
      <c r="AW13" s="150"/>
      <c r="AX13" s="150"/>
      <c r="AY13" s="151"/>
      <c r="AZ13" s="280"/>
      <c r="BA13" s="257"/>
      <c r="BB13" s="284">
        <f>BA13*AZ13</f>
        <v>0</v>
      </c>
    </row>
    <row r="14" spans="1:54" ht="12.75">
      <c r="A14" s="103"/>
      <c r="B14" s="148"/>
      <c r="C14" s="320" t="s">
        <v>209</v>
      </c>
      <c r="D14" s="320"/>
      <c r="E14" s="148"/>
      <c r="F14" s="148"/>
      <c r="G14" s="148"/>
      <c r="H14" s="148"/>
      <c r="I14" s="149"/>
      <c r="J14" s="144"/>
      <c r="K14" s="144"/>
      <c r="L14" s="144"/>
      <c r="M14" s="144" t="s">
        <v>207</v>
      </c>
      <c r="N14" s="103" t="s">
        <v>207</v>
      </c>
      <c r="O14" s="144" t="s">
        <v>208</v>
      </c>
      <c r="P14" s="144"/>
      <c r="Q14" s="144"/>
      <c r="R14" s="144"/>
      <c r="S14" s="152">
        <v>1</v>
      </c>
      <c r="T14" s="96" t="s">
        <v>159</v>
      </c>
      <c r="U14" s="96"/>
      <c r="V14" s="96"/>
      <c r="W14" s="155">
        <f aca="true" t="shared" si="0" ref="W14:W25">SUM(X14:AA14)</f>
        <v>3462197</v>
      </c>
      <c r="X14" s="155">
        <f>SUM(X15:X26)</f>
        <v>3004605</v>
      </c>
      <c r="Y14" s="155">
        <f>SUM(Y15:Y27)</f>
        <v>0</v>
      </c>
      <c r="Z14" s="155">
        <f>SUM(Z15:Z26)</f>
        <v>457592</v>
      </c>
      <c r="AA14" s="152">
        <f>SUM(AA15:AA27)</f>
        <v>0</v>
      </c>
      <c r="AB14" s="152"/>
      <c r="AC14" s="96" t="s">
        <v>136</v>
      </c>
      <c r="AD14" s="96"/>
      <c r="AE14" s="96"/>
      <c r="AF14" s="163">
        <f>SUM(AG14:AJ14)</f>
        <v>154618</v>
      </c>
      <c r="AG14" s="155">
        <f>SUM(AG16:AG22)</f>
        <v>149170</v>
      </c>
      <c r="AH14" s="155">
        <f>SUM(AH16:AH22)</f>
        <v>0</v>
      </c>
      <c r="AI14" s="155">
        <f>SUM(AI16:AI22)</f>
        <v>5448</v>
      </c>
      <c r="AJ14" s="152">
        <f>SUM(AJ16:AJ22)</f>
        <v>0</v>
      </c>
      <c r="AK14" s="171">
        <v>1</v>
      </c>
      <c r="AL14" s="143" t="s">
        <v>136</v>
      </c>
      <c r="AM14" s="143"/>
      <c r="AN14" s="143"/>
      <c r="AO14" s="175">
        <f>SUM(AP14:AS14)</f>
        <v>57225</v>
      </c>
      <c r="AP14" s="175">
        <f>SUM(AP16:AP17)</f>
        <v>0</v>
      </c>
      <c r="AQ14" s="175">
        <f>SUM(AQ16:AQ17)</f>
        <v>0</v>
      </c>
      <c r="AR14" s="175">
        <f>ROUND(SUM(AR16:AR20),0)</f>
        <v>57225</v>
      </c>
      <c r="AS14" s="171">
        <f>SUM(AS16:AS17)</f>
        <v>0</v>
      </c>
      <c r="AT14" s="144" t="s">
        <v>423</v>
      </c>
      <c r="AU14" s="144"/>
      <c r="AV14" s="144"/>
      <c r="AW14" s="144"/>
      <c r="AX14" s="144"/>
      <c r="AY14" s="144"/>
      <c r="AZ14" s="280">
        <f>SUM(AZ15:AZ21)</f>
        <v>490</v>
      </c>
      <c r="BA14" s="287"/>
      <c r="BB14" s="284">
        <f>SUM(BB15:BB21)</f>
        <v>1290.7765920000002</v>
      </c>
    </row>
    <row r="15" spans="1:54" ht="12.75">
      <c r="A15" s="103"/>
      <c r="B15" s="102" t="s">
        <v>520</v>
      </c>
      <c r="C15" s="320"/>
      <c r="D15" s="320"/>
      <c r="E15" s="148"/>
      <c r="F15" s="148"/>
      <c r="G15" s="148"/>
      <c r="H15" s="148"/>
      <c r="I15" s="149"/>
      <c r="J15" s="152">
        <v>1</v>
      </c>
      <c r="K15" s="152">
        <v>2</v>
      </c>
      <c r="L15" s="152">
        <v>3</v>
      </c>
      <c r="M15" s="152">
        <v>4</v>
      </c>
      <c r="N15" s="152">
        <v>5</v>
      </c>
      <c r="O15" s="152">
        <v>6</v>
      </c>
      <c r="P15" s="152">
        <v>7</v>
      </c>
      <c r="Q15" s="152">
        <v>8</v>
      </c>
      <c r="R15" s="152">
        <v>9</v>
      </c>
      <c r="S15" s="170" t="s">
        <v>145</v>
      </c>
      <c r="T15" s="145" t="s">
        <v>121</v>
      </c>
      <c r="U15" s="146"/>
      <c r="V15" s="146"/>
      <c r="W15" s="163">
        <f t="shared" si="0"/>
        <v>1780993</v>
      </c>
      <c r="X15" s="193">
        <f>ROUND(I20,0)</f>
        <v>1780993</v>
      </c>
      <c r="Y15" s="171">
        <v>0</v>
      </c>
      <c r="Z15" s="171">
        <v>0</v>
      </c>
      <c r="AA15" s="171">
        <v>0</v>
      </c>
      <c r="AB15" s="171">
        <v>1</v>
      </c>
      <c r="AC15" s="145" t="s">
        <v>543</v>
      </c>
      <c r="AD15" s="146"/>
      <c r="AE15" s="147"/>
      <c r="AF15" s="162"/>
      <c r="AG15" s="165"/>
      <c r="AH15" s="165"/>
      <c r="AI15" s="165"/>
      <c r="AJ15" s="303"/>
      <c r="AK15" s="319"/>
      <c r="AL15" s="145" t="s">
        <v>545</v>
      </c>
      <c r="AM15" s="146"/>
      <c r="AN15" s="147"/>
      <c r="AO15" s="175"/>
      <c r="AP15" s="171"/>
      <c r="AQ15" s="171"/>
      <c r="AR15" s="175"/>
      <c r="AS15" s="171"/>
      <c r="AT15" s="147" t="s">
        <v>174</v>
      </c>
      <c r="AU15" s="143"/>
      <c r="AV15" s="143"/>
      <c r="AW15" s="143"/>
      <c r="AX15" s="143"/>
      <c r="AY15" s="143"/>
      <c r="AZ15" s="155">
        <f>AS57-AZ16</f>
        <v>0</v>
      </c>
      <c r="BA15" s="288"/>
      <c r="BB15" s="284">
        <f>AZ15*BA15</f>
        <v>0</v>
      </c>
    </row>
    <row r="16" spans="1:54" ht="12.75">
      <c r="A16" s="171">
        <v>1</v>
      </c>
      <c r="B16" s="143" t="s">
        <v>249</v>
      </c>
      <c r="C16" s="197">
        <v>804152757</v>
      </c>
      <c r="D16" s="230">
        <v>4231.7602</v>
      </c>
      <c r="E16" s="230">
        <v>4316.4808</v>
      </c>
      <c r="F16" s="155">
        <v>36000</v>
      </c>
      <c r="G16" s="252">
        <f>E16-D16</f>
        <v>84.72060000000056</v>
      </c>
      <c r="H16" s="96"/>
      <c r="I16" s="155">
        <f>ROUND((F16*G16+H16),0)</f>
        <v>3049942</v>
      </c>
      <c r="J16" s="103"/>
      <c r="K16" s="148"/>
      <c r="L16" s="148" t="s">
        <v>209</v>
      </c>
      <c r="M16" s="148"/>
      <c r="N16" s="148"/>
      <c r="O16" s="148"/>
      <c r="P16" s="148"/>
      <c r="Q16" s="148"/>
      <c r="R16" s="149"/>
      <c r="S16" s="157" t="s">
        <v>146</v>
      </c>
      <c r="T16" s="159" t="s">
        <v>122</v>
      </c>
      <c r="U16" s="160"/>
      <c r="V16" s="160"/>
      <c r="W16" s="163">
        <f t="shared" si="0"/>
        <v>145985</v>
      </c>
      <c r="X16" s="186">
        <f>ROUND(I27,0)</f>
        <v>145985</v>
      </c>
      <c r="Y16" s="168">
        <v>0</v>
      </c>
      <c r="Z16" s="163">
        <v>0</v>
      </c>
      <c r="AA16" s="168">
        <v>0</v>
      </c>
      <c r="AB16" s="157" t="s">
        <v>145</v>
      </c>
      <c r="AC16" s="159" t="s">
        <v>343</v>
      </c>
      <c r="AD16" s="160"/>
      <c r="AE16" s="161"/>
      <c r="AF16" s="163">
        <f>AG16+AH16+AI16+AJ16</f>
        <v>149170</v>
      </c>
      <c r="AG16" s="163">
        <v>149170</v>
      </c>
      <c r="AH16" s="168">
        <v>0</v>
      </c>
      <c r="AI16" s="163">
        <v>0</v>
      </c>
      <c r="AJ16" s="192">
        <v>0</v>
      </c>
      <c r="AK16" s="157" t="s">
        <v>145</v>
      </c>
      <c r="AL16" s="159" t="s">
        <v>84</v>
      </c>
      <c r="AM16" s="160"/>
      <c r="AN16" s="161"/>
      <c r="AO16" s="163">
        <f>AP16+AQ16+AR16+AS16</f>
        <v>380</v>
      </c>
      <c r="AP16" s="168">
        <v>0</v>
      </c>
      <c r="AQ16" s="168">
        <v>0</v>
      </c>
      <c r="AR16" s="163">
        <v>380</v>
      </c>
      <c r="AS16" s="168">
        <v>0</v>
      </c>
      <c r="AT16" s="147" t="s">
        <v>174</v>
      </c>
      <c r="AU16" s="143"/>
      <c r="AV16" s="143"/>
      <c r="AW16" s="143"/>
      <c r="AX16" s="143"/>
      <c r="AY16" s="143"/>
      <c r="AZ16" s="155">
        <f>AS57/100*80</f>
        <v>0</v>
      </c>
      <c r="BA16" s="289"/>
      <c r="BB16" s="284">
        <f>AZ16*BA16</f>
        <v>0</v>
      </c>
    </row>
    <row r="17" spans="1:54" ht="12.75">
      <c r="A17" s="144"/>
      <c r="B17" s="103" t="s">
        <v>250</v>
      </c>
      <c r="C17" s="213">
        <v>109054169</v>
      </c>
      <c r="D17" s="230">
        <v>6586.0868</v>
      </c>
      <c r="E17" s="230">
        <v>6721.8924</v>
      </c>
      <c r="F17" s="155">
        <v>36000</v>
      </c>
      <c r="G17" s="252">
        <f>E17-D17</f>
        <v>135.80559999999969</v>
      </c>
      <c r="H17" s="96"/>
      <c r="I17" s="155">
        <f>F17*G17+H17</f>
        <v>4889001.599999988</v>
      </c>
      <c r="J17" s="96"/>
      <c r="K17" s="102" t="s">
        <v>210</v>
      </c>
      <c r="L17" s="150"/>
      <c r="M17" s="150"/>
      <c r="N17" s="150"/>
      <c r="O17" s="150"/>
      <c r="P17" s="150"/>
      <c r="Q17" s="150"/>
      <c r="R17" s="151"/>
      <c r="S17" s="157" t="s">
        <v>147</v>
      </c>
      <c r="T17" s="159" t="s">
        <v>123</v>
      </c>
      <c r="U17" s="160"/>
      <c r="V17" s="160"/>
      <c r="W17" s="163">
        <f t="shared" si="0"/>
        <v>159941</v>
      </c>
      <c r="X17" s="186">
        <f>ROUND(I29,0)</f>
        <v>159941</v>
      </c>
      <c r="Y17" s="168">
        <v>0</v>
      </c>
      <c r="Z17" s="163">
        <v>0</v>
      </c>
      <c r="AA17" s="168">
        <v>0</v>
      </c>
      <c r="AB17" s="157" t="s">
        <v>146</v>
      </c>
      <c r="AC17" s="159" t="s">
        <v>172</v>
      </c>
      <c r="AD17" s="160"/>
      <c r="AE17" s="161"/>
      <c r="AF17" s="163">
        <f>AG17+AH17+AI17+AJ17</f>
        <v>2300</v>
      </c>
      <c r="AG17" s="168">
        <v>0</v>
      </c>
      <c r="AH17" s="168">
        <v>0</v>
      </c>
      <c r="AI17" s="163">
        <v>2300</v>
      </c>
      <c r="AJ17" s="192">
        <v>0</v>
      </c>
      <c r="AK17" s="157" t="s">
        <v>146</v>
      </c>
      <c r="AL17" s="159" t="s">
        <v>277</v>
      </c>
      <c r="AM17" s="160"/>
      <c r="AN17" s="161"/>
      <c r="AO17" s="163">
        <f>AP17+AQ17+AR17+AS17</f>
        <v>6176</v>
      </c>
      <c r="AP17" s="168">
        <v>0</v>
      </c>
      <c r="AQ17" s="168">
        <v>0</v>
      </c>
      <c r="AR17" s="163">
        <v>6176</v>
      </c>
      <c r="AS17" s="168">
        <v>0</v>
      </c>
      <c r="AT17" s="146" t="s">
        <v>141</v>
      </c>
      <c r="AU17" s="146"/>
      <c r="AV17" s="146"/>
      <c r="AW17" s="146"/>
      <c r="AX17" s="146"/>
      <c r="AY17" s="147"/>
      <c r="AZ17" s="280">
        <f>R21</f>
        <v>240</v>
      </c>
      <c r="BA17" s="290">
        <v>2.7083333</v>
      </c>
      <c r="BB17" s="284">
        <f>AZ17*BA17</f>
        <v>649.999992</v>
      </c>
    </row>
    <row r="18" spans="1:54" ht="12.75">
      <c r="A18" s="102"/>
      <c r="B18" s="150"/>
      <c r="C18" s="148"/>
      <c r="D18" s="150"/>
      <c r="E18" s="150"/>
      <c r="F18" s="214" t="s">
        <v>212</v>
      </c>
      <c r="G18" s="150"/>
      <c r="H18" s="151"/>
      <c r="I18" s="155">
        <f>ROUND((I16+I17+I22),0)</f>
        <v>8010176</v>
      </c>
      <c r="J18" s="152">
        <v>1</v>
      </c>
      <c r="K18" s="102" t="s">
        <v>211</v>
      </c>
      <c r="L18" s="150"/>
      <c r="M18" s="150"/>
      <c r="N18" s="150"/>
      <c r="O18" s="150"/>
      <c r="P18" s="150"/>
      <c r="Q18" s="150"/>
      <c r="R18" s="151"/>
      <c r="S18" s="157" t="s">
        <v>148</v>
      </c>
      <c r="T18" s="159" t="s">
        <v>124</v>
      </c>
      <c r="U18" s="160"/>
      <c r="V18" s="160"/>
      <c r="W18" s="163">
        <f t="shared" si="0"/>
        <v>80606</v>
      </c>
      <c r="X18" s="186">
        <f>ROUND(I31,0)</f>
        <v>80606</v>
      </c>
      <c r="Y18" s="168">
        <v>0</v>
      </c>
      <c r="Z18" s="163">
        <v>0</v>
      </c>
      <c r="AA18" s="168">
        <v>0</v>
      </c>
      <c r="AB18" s="158" t="s">
        <v>147</v>
      </c>
      <c r="AC18" s="148" t="s">
        <v>156</v>
      </c>
      <c r="AD18" s="148"/>
      <c r="AE18" s="148"/>
      <c r="AF18" s="164">
        <f>AG18+AH18+AI18+AJ18</f>
        <v>3148</v>
      </c>
      <c r="AG18" s="169">
        <v>0</v>
      </c>
      <c r="AH18" s="169">
        <v>0</v>
      </c>
      <c r="AI18" s="164">
        <v>3148</v>
      </c>
      <c r="AJ18" s="318">
        <v>0</v>
      </c>
      <c r="AK18" s="157" t="s">
        <v>147</v>
      </c>
      <c r="AL18" s="159" t="s">
        <v>135</v>
      </c>
      <c r="AM18" s="160"/>
      <c r="AN18" s="161"/>
      <c r="AO18" s="163">
        <f>AP18+AQ18+AR18+AS18</f>
        <v>35823</v>
      </c>
      <c r="AP18" s="168">
        <v>0</v>
      </c>
      <c r="AQ18" s="168">
        <v>0</v>
      </c>
      <c r="AR18" s="163">
        <v>35823</v>
      </c>
      <c r="AS18" s="168">
        <v>0</v>
      </c>
      <c r="AT18" s="146" t="s">
        <v>142</v>
      </c>
      <c r="AU18" s="146"/>
      <c r="AV18" s="146"/>
      <c r="AW18" s="146"/>
      <c r="AX18" s="146"/>
      <c r="AY18" s="147"/>
      <c r="AZ18" s="280">
        <f>R22</f>
        <v>180</v>
      </c>
      <c r="BA18" s="290">
        <v>1.28333</v>
      </c>
      <c r="BB18" s="284">
        <f>AZ18*BA18</f>
        <v>230.9994</v>
      </c>
    </row>
    <row r="19" spans="1:54" ht="12.75">
      <c r="A19" s="96" t="s">
        <v>213</v>
      </c>
      <c r="B19" s="102" t="s">
        <v>466</v>
      </c>
      <c r="C19" s="150"/>
      <c r="D19" s="150"/>
      <c r="E19" s="150"/>
      <c r="F19" s="150"/>
      <c r="G19" s="150"/>
      <c r="H19" s="150"/>
      <c r="I19" s="151"/>
      <c r="J19" s="171" t="s">
        <v>213</v>
      </c>
      <c r="K19" s="143" t="s">
        <v>290</v>
      </c>
      <c r="L19" s="171">
        <v>16654</v>
      </c>
      <c r="M19" s="234">
        <v>5029</v>
      </c>
      <c r="N19" s="234">
        <v>5099</v>
      </c>
      <c r="O19" s="171">
        <v>1</v>
      </c>
      <c r="P19" s="258">
        <f>N19-M19</f>
        <v>70</v>
      </c>
      <c r="Q19" s="259"/>
      <c r="R19" s="175">
        <f>O19*P19+Q19</f>
        <v>70</v>
      </c>
      <c r="S19" s="157" t="s">
        <v>153</v>
      </c>
      <c r="T19" s="159" t="s">
        <v>125</v>
      </c>
      <c r="U19" s="160"/>
      <c r="V19" s="160"/>
      <c r="W19" s="163">
        <f t="shared" si="0"/>
        <v>145372</v>
      </c>
      <c r="X19" s="186">
        <f>ROUND(I33,0)</f>
        <v>145372</v>
      </c>
      <c r="Y19" s="168">
        <v>0</v>
      </c>
      <c r="Z19" s="168">
        <v>0</v>
      </c>
      <c r="AA19" s="168">
        <v>0</v>
      </c>
      <c r="AB19" s="179"/>
      <c r="AC19" s="160"/>
      <c r="AD19" s="160"/>
      <c r="AE19" s="160"/>
      <c r="AF19" s="180"/>
      <c r="AG19" s="181"/>
      <c r="AH19" s="181"/>
      <c r="AI19" s="180"/>
      <c r="AJ19" s="181"/>
      <c r="AK19" s="157" t="s">
        <v>148</v>
      </c>
      <c r="AL19" s="159" t="s">
        <v>158</v>
      </c>
      <c r="AM19" s="160"/>
      <c r="AN19" s="161"/>
      <c r="AO19" s="163">
        <f>AP19+AQ19+AR19+AS19</f>
        <v>524</v>
      </c>
      <c r="AP19" s="163">
        <v>0</v>
      </c>
      <c r="AQ19" s="168">
        <v>0</v>
      </c>
      <c r="AR19" s="163">
        <v>524</v>
      </c>
      <c r="AS19" s="168">
        <v>0</v>
      </c>
      <c r="AT19" s="146" t="s">
        <v>182</v>
      </c>
      <c r="AU19" s="146"/>
      <c r="AV19" s="146"/>
      <c r="AW19" s="146"/>
      <c r="AX19" s="146"/>
      <c r="AY19" s="147"/>
      <c r="AZ19" s="291">
        <f>R19+R20</f>
        <v>70</v>
      </c>
      <c r="BA19" s="285">
        <v>5.85396</v>
      </c>
      <c r="BB19" s="284">
        <f>AZ19*BA19</f>
        <v>409.7772</v>
      </c>
    </row>
    <row r="20" spans="1:54" ht="12.75">
      <c r="A20" s="96" t="s">
        <v>215</v>
      </c>
      <c r="B20" s="96" t="s">
        <v>216</v>
      </c>
      <c r="C20" s="213">
        <v>109053225</v>
      </c>
      <c r="D20" s="230">
        <v>18287.7965</v>
      </c>
      <c r="E20" s="230">
        <v>18372.6057</v>
      </c>
      <c r="F20" s="155">
        <v>21000</v>
      </c>
      <c r="G20" s="252">
        <f>E20-D20</f>
        <v>84.80919999999969</v>
      </c>
      <c r="H20" s="96"/>
      <c r="I20" s="155">
        <f>ROUND((F20*G20+H20),0)</f>
        <v>1780993</v>
      </c>
      <c r="J20" s="144"/>
      <c r="K20" s="144" t="s">
        <v>291</v>
      </c>
      <c r="L20" s="144"/>
      <c r="M20" s="144"/>
      <c r="N20" s="144"/>
      <c r="O20" s="144"/>
      <c r="P20" s="185"/>
      <c r="Q20" s="260"/>
      <c r="R20" s="276"/>
      <c r="S20" s="157" t="s">
        <v>157</v>
      </c>
      <c r="T20" s="159" t="s">
        <v>126</v>
      </c>
      <c r="U20" s="160"/>
      <c r="V20" s="160"/>
      <c r="W20" s="163">
        <f t="shared" si="0"/>
        <v>282994</v>
      </c>
      <c r="X20" s="186">
        <f>ROUND(I35,0)</f>
        <v>282994</v>
      </c>
      <c r="Y20" s="168">
        <v>0</v>
      </c>
      <c r="Z20" s="163">
        <v>0</v>
      </c>
      <c r="AA20" s="168">
        <v>0</v>
      </c>
      <c r="AB20" s="179"/>
      <c r="AC20" s="160"/>
      <c r="AD20" s="160"/>
      <c r="AE20" s="160"/>
      <c r="AF20" s="180"/>
      <c r="AG20" s="180"/>
      <c r="AH20" s="181"/>
      <c r="AI20" s="180"/>
      <c r="AJ20" s="181"/>
      <c r="AK20" s="158" t="s">
        <v>153</v>
      </c>
      <c r="AL20" s="103" t="s">
        <v>544</v>
      </c>
      <c r="AM20" s="148"/>
      <c r="AN20" s="149"/>
      <c r="AO20" s="164">
        <f>AP20+AQ20+AR20+AS20</f>
        <v>14322</v>
      </c>
      <c r="AP20" s="164"/>
      <c r="AQ20" s="169"/>
      <c r="AR20" s="164">
        <v>14322</v>
      </c>
      <c r="AS20" s="169"/>
      <c r="AT20" s="146" t="s">
        <v>416</v>
      </c>
      <c r="AU20" s="146"/>
      <c r="AV20" s="146"/>
      <c r="AW20" s="146"/>
      <c r="AX20" s="146"/>
      <c r="AY20" s="147"/>
      <c r="AZ20" s="280"/>
      <c r="BA20" s="290"/>
      <c r="BB20" s="279"/>
    </row>
    <row r="21" spans="1:54" ht="12.75">
      <c r="A21" s="96" t="s">
        <v>521</v>
      </c>
      <c r="B21" s="150" t="s">
        <v>524</v>
      </c>
      <c r="C21" s="148"/>
      <c r="D21" s="150"/>
      <c r="E21" s="150"/>
      <c r="F21" s="214"/>
      <c r="G21" s="150"/>
      <c r="H21" s="151"/>
      <c r="I21" s="155"/>
      <c r="J21" s="143" t="s">
        <v>219</v>
      </c>
      <c r="K21" s="143" t="s">
        <v>293</v>
      </c>
      <c r="L21" s="377">
        <v>122848480</v>
      </c>
      <c r="M21" s="376">
        <v>423</v>
      </c>
      <c r="N21" s="376">
        <v>435</v>
      </c>
      <c r="O21" s="152">
        <v>20</v>
      </c>
      <c r="P21" s="375">
        <f>N21-M21</f>
        <v>12</v>
      </c>
      <c r="Q21" s="261"/>
      <c r="R21" s="155">
        <f>O21*P21+Q21</f>
        <v>240</v>
      </c>
      <c r="S21" s="157" t="s">
        <v>161</v>
      </c>
      <c r="T21" s="159" t="s">
        <v>127</v>
      </c>
      <c r="U21" s="160"/>
      <c r="V21" s="160"/>
      <c r="W21" s="163">
        <f t="shared" si="0"/>
        <v>124892</v>
      </c>
      <c r="X21" s="186">
        <f>ROUND(I37,0)</f>
        <v>124892</v>
      </c>
      <c r="Y21" s="168">
        <v>0</v>
      </c>
      <c r="Z21" s="163">
        <v>0</v>
      </c>
      <c r="AA21" s="168">
        <v>0</v>
      </c>
      <c r="AB21" s="179"/>
      <c r="AC21" s="160"/>
      <c r="AD21" s="160"/>
      <c r="AE21" s="160"/>
      <c r="AF21" s="180"/>
      <c r="AG21" s="180"/>
      <c r="AH21" s="181"/>
      <c r="AI21" s="180"/>
      <c r="AJ21" s="181"/>
      <c r="AK21" s="179"/>
      <c r="AL21" s="160"/>
      <c r="AM21" s="160"/>
      <c r="AN21" s="160"/>
      <c r="AO21" s="180"/>
      <c r="AP21" s="181"/>
      <c r="AQ21" s="182"/>
      <c r="AR21" s="180"/>
      <c r="AS21" s="181"/>
      <c r="AT21" s="102"/>
      <c r="AU21" s="146"/>
      <c r="AV21" s="146"/>
      <c r="AW21" s="146"/>
      <c r="AX21" s="146"/>
      <c r="AY21" s="147"/>
      <c r="AZ21" s="280"/>
      <c r="BA21" s="290"/>
      <c r="BB21" s="279"/>
    </row>
    <row r="22" spans="1:54" ht="12.75">
      <c r="A22" s="96" t="s">
        <v>522</v>
      </c>
      <c r="B22" s="102" t="s">
        <v>525</v>
      </c>
      <c r="C22" s="150"/>
      <c r="D22" s="150"/>
      <c r="E22" s="150"/>
      <c r="F22" s="150"/>
      <c r="G22" s="150"/>
      <c r="H22" s="151"/>
      <c r="I22" s="381">
        <v>71232</v>
      </c>
      <c r="J22" s="144"/>
      <c r="K22" s="144" t="s">
        <v>292</v>
      </c>
      <c r="L22" s="377">
        <v>122848480</v>
      </c>
      <c r="M22" s="376">
        <v>108</v>
      </c>
      <c r="N22" s="376">
        <v>117</v>
      </c>
      <c r="O22" s="152">
        <v>20</v>
      </c>
      <c r="P22" s="375">
        <f>N22-M22</f>
        <v>9</v>
      </c>
      <c r="Q22" s="261"/>
      <c r="R22" s="155">
        <f>O22*P22+Q22</f>
        <v>180</v>
      </c>
      <c r="S22" s="157" t="s">
        <v>162</v>
      </c>
      <c r="T22" s="159" t="s">
        <v>128</v>
      </c>
      <c r="U22" s="160"/>
      <c r="V22" s="160"/>
      <c r="W22" s="163">
        <f t="shared" si="0"/>
        <v>283822</v>
      </c>
      <c r="X22" s="186">
        <f>ROUND(I39,0)</f>
        <v>283822</v>
      </c>
      <c r="Y22" s="168">
        <v>0</v>
      </c>
      <c r="Z22" s="168">
        <v>0</v>
      </c>
      <c r="AA22" s="168">
        <v>0</v>
      </c>
      <c r="AB22" s="179"/>
      <c r="AC22" s="160"/>
      <c r="AD22" s="160"/>
      <c r="AE22" s="160"/>
      <c r="AF22" s="180"/>
      <c r="AG22" s="181"/>
      <c r="AH22" s="181"/>
      <c r="AI22" s="180"/>
      <c r="AJ22" s="181"/>
      <c r="AK22" s="179"/>
      <c r="AL22" s="160"/>
      <c r="AM22" s="160"/>
      <c r="AN22" s="160"/>
      <c r="AO22" s="180"/>
      <c r="AP22" s="181"/>
      <c r="AQ22" s="182"/>
      <c r="AR22" s="180"/>
      <c r="AS22" s="181"/>
      <c r="AT22" s="255" t="s">
        <v>22</v>
      </c>
      <c r="AU22" s="256"/>
      <c r="AV22" s="256"/>
      <c r="AW22" s="256"/>
      <c r="AX22" s="146"/>
      <c r="AY22" s="147"/>
      <c r="AZ22" s="280"/>
      <c r="BA22" s="293"/>
      <c r="BB22" s="294"/>
    </row>
    <row r="23" spans="1:54" ht="12.75">
      <c r="A23" s="102"/>
      <c r="B23" s="102"/>
      <c r="C23" s="371"/>
      <c r="D23" s="372"/>
      <c r="E23" s="372"/>
      <c r="F23" s="373"/>
      <c r="G23" s="374"/>
      <c r="H23" s="151"/>
      <c r="I23" s="280"/>
      <c r="J23" s="102"/>
      <c r="K23" s="245"/>
      <c r="L23" s="245"/>
      <c r="M23" s="245"/>
      <c r="N23" s="245"/>
      <c r="O23" s="245"/>
      <c r="P23" s="246" t="s">
        <v>274</v>
      </c>
      <c r="Q23" s="247"/>
      <c r="R23" s="155">
        <f>R19+R21+R22+R20</f>
        <v>490</v>
      </c>
      <c r="S23" s="157" t="s">
        <v>163</v>
      </c>
      <c r="T23" s="159" t="s">
        <v>129</v>
      </c>
      <c r="U23" s="160"/>
      <c r="V23" s="160"/>
      <c r="W23" s="163">
        <f t="shared" si="0"/>
        <v>358954</v>
      </c>
      <c r="X23" s="186">
        <v>0</v>
      </c>
      <c r="Y23" s="168">
        <v>0</v>
      </c>
      <c r="Z23" s="163">
        <f>I26+I25</f>
        <v>358954</v>
      </c>
      <c r="AA23" s="168">
        <v>0</v>
      </c>
      <c r="AB23" s="179"/>
      <c r="AC23" s="160"/>
      <c r="AD23" s="160"/>
      <c r="AE23" s="160"/>
      <c r="AF23" s="180"/>
      <c r="AG23" s="181"/>
      <c r="AH23" s="182"/>
      <c r="AI23" s="180"/>
      <c r="AJ23" s="181"/>
      <c r="AK23" s="179"/>
      <c r="AL23" s="160"/>
      <c r="AM23" s="160"/>
      <c r="AN23" s="160"/>
      <c r="AO23" s="180"/>
      <c r="AP23" s="181"/>
      <c r="AQ23" s="182"/>
      <c r="AR23" s="180"/>
      <c r="AS23" s="181"/>
      <c r="AT23" s="145" t="s">
        <v>23</v>
      </c>
      <c r="AU23" s="146"/>
      <c r="AV23" s="146"/>
      <c r="AW23" s="146"/>
      <c r="AX23" s="146"/>
      <c r="AY23" s="147"/>
      <c r="AZ23" s="280"/>
      <c r="BA23" s="293"/>
      <c r="BB23" s="279"/>
    </row>
    <row r="24" spans="1:54" ht="12.75">
      <c r="A24" s="96" t="s">
        <v>219</v>
      </c>
      <c r="B24" s="103" t="s">
        <v>220</v>
      </c>
      <c r="C24" s="148"/>
      <c r="D24" s="148"/>
      <c r="E24" s="148"/>
      <c r="F24" s="148"/>
      <c r="G24" s="148"/>
      <c r="H24" s="148"/>
      <c r="I24" s="151"/>
      <c r="J24" s="145"/>
      <c r="K24" s="146"/>
      <c r="L24" s="146"/>
      <c r="M24" s="146"/>
      <c r="N24" s="146"/>
      <c r="O24" s="146"/>
      <c r="P24" s="248"/>
      <c r="Q24" s="249"/>
      <c r="R24" s="250"/>
      <c r="S24" s="157" t="s">
        <v>164</v>
      </c>
      <c r="T24" s="160" t="s">
        <v>130</v>
      </c>
      <c r="U24" s="160"/>
      <c r="V24" s="160"/>
      <c r="W24" s="163">
        <f t="shared" si="0"/>
        <v>1176</v>
      </c>
      <c r="X24" s="186">
        <v>0</v>
      </c>
      <c r="Y24" s="168">
        <v>0</v>
      </c>
      <c r="Z24" s="163">
        <f>I41</f>
        <v>1176</v>
      </c>
      <c r="AA24" s="168">
        <v>0</v>
      </c>
      <c r="AB24" s="153"/>
      <c r="AC24" s="120" t="s">
        <v>189</v>
      </c>
      <c r="AD24" s="120"/>
      <c r="AE24" s="120"/>
      <c r="AF24" s="154"/>
      <c r="AG24" s="154"/>
      <c r="AH24" s="154"/>
      <c r="AI24" s="154"/>
      <c r="AJ24" s="154"/>
      <c r="AK24" s="153"/>
      <c r="AL24" s="120" t="s">
        <v>278</v>
      </c>
      <c r="AM24" s="120"/>
      <c r="AN24" s="120"/>
      <c r="AO24" s="154"/>
      <c r="AP24" s="154"/>
      <c r="AQ24" s="154"/>
      <c r="AR24" s="154"/>
      <c r="AS24" s="154"/>
      <c r="AT24" s="262" t="s">
        <v>139</v>
      </c>
      <c r="AU24" s="245"/>
      <c r="AV24" s="245"/>
      <c r="AW24" s="245"/>
      <c r="AX24" s="245"/>
      <c r="AY24" s="263"/>
      <c r="AZ24" s="295"/>
      <c r="BA24" s="287"/>
      <c r="BB24" s="284"/>
    </row>
    <row r="25" spans="1:54" ht="12.75">
      <c r="A25" s="143" t="s">
        <v>221</v>
      </c>
      <c r="B25" s="143" t="s">
        <v>224</v>
      </c>
      <c r="C25" s="197"/>
      <c r="D25" s="323"/>
      <c r="E25" s="323"/>
      <c r="F25" s="164"/>
      <c r="G25" s="324"/>
      <c r="H25" s="164"/>
      <c r="I25" s="164"/>
      <c r="J25" s="159" t="s">
        <v>275</v>
      </c>
      <c r="K25" s="160"/>
      <c r="L25" s="160"/>
      <c r="M25" s="160"/>
      <c r="N25" s="160"/>
      <c r="O25" s="160"/>
      <c r="P25" s="190"/>
      <c r="Q25" s="238"/>
      <c r="R25" s="251"/>
      <c r="S25" s="157" t="s">
        <v>165</v>
      </c>
      <c r="T25" s="160" t="s">
        <v>131</v>
      </c>
      <c r="U25" s="160"/>
      <c r="V25" s="160"/>
      <c r="W25" s="163">
        <f t="shared" si="0"/>
        <v>87973</v>
      </c>
      <c r="X25" s="186">
        <v>0</v>
      </c>
      <c r="Y25" s="168">
        <v>0</v>
      </c>
      <c r="Z25" s="163">
        <f>I43</f>
        <v>87973</v>
      </c>
      <c r="AA25" s="168">
        <v>0</v>
      </c>
      <c r="AB25" s="153"/>
      <c r="AC25" s="120" t="s">
        <v>533</v>
      </c>
      <c r="AD25" s="120"/>
      <c r="AE25" s="120"/>
      <c r="AF25" s="120"/>
      <c r="AG25" s="120"/>
      <c r="AH25" s="120"/>
      <c r="AI25" s="120"/>
      <c r="AJ25" s="120"/>
      <c r="AK25" s="153"/>
      <c r="AL25" s="120" t="s">
        <v>533</v>
      </c>
      <c r="AM25" s="120"/>
      <c r="AN25" s="120"/>
      <c r="AO25" s="120"/>
      <c r="AP25" s="120"/>
      <c r="AQ25" s="120"/>
      <c r="AR25" s="120"/>
      <c r="AS25" s="120"/>
      <c r="AT25" s="103" t="s">
        <v>183</v>
      </c>
      <c r="AU25" s="148"/>
      <c r="AV25" s="148"/>
      <c r="AW25" s="148"/>
      <c r="AX25" s="148"/>
      <c r="AY25" s="149"/>
      <c r="AZ25" s="296">
        <v>7.91</v>
      </c>
      <c r="BA25" s="297">
        <v>35268</v>
      </c>
      <c r="BB25" s="284">
        <f>AZ25*BA25</f>
        <v>278969.88</v>
      </c>
    </row>
    <row r="26" spans="1:54" ht="12.75">
      <c r="A26" s="144"/>
      <c r="B26" s="144" t="s">
        <v>222</v>
      </c>
      <c r="C26" s="198">
        <v>109056121</v>
      </c>
      <c r="D26" s="323">
        <v>20896.9917</v>
      </c>
      <c r="E26" s="323">
        <v>20971.7738</v>
      </c>
      <c r="F26" s="164">
        <v>4800</v>
      </c>
      <c r="G26" s="324">
        <f aca="true" t="shared" si="1" ref="G26:G43">E26-D26</f>
        <v>74.78210000000036</v>
      </c>
      <c r="H26" s="164"/>
      <c r="I26" s="164">
        <f>ROUND(F26*G26+H26,0)</f>
        <v>358954</v>
      </c>
      <c r="J26" s="222" t="s">
        <v>548</v>
      </c>
      <c r="K26" s="223"/>
      <c r="L26" s="223"/>
      <c r="M26" s="191"/>
      <c r="N26" s="148"/>
      <c r="O26" s="148"/>
      <c r="P26" s="148"/>
      <c r="Q26" s="148"/>
      <c r="R26" s="209"/>
      <c r="S26" s="158" t="s">
        <v>166</v>
      </c>
      <c r="T26" s="148" t="s">
        <v>132</v>
      </c>
      <c r="U26" s="148"/>
      <c r="V26" s="148"/>
      <c r="W26" s="164">
        <f>SUM(X26:AA26)</f>
        <v>9489</v>
      </c>
      <c r="X26" s="187">
        <v>0</v>
      </c>
      <c r="Y26" s="169">
        <v>0</v>
      </c>
      <c r="Z26" s="164">
        <f>I45+I46</f>
        <v>9489</v>
      </c>
      <c r="AA26" s="169">
        <v>0</v>
      </c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02" t="s">
        <v>184</v>
      </c>
      <c r="AU26" s="150"/>
      <c r="AV26" s="150"/>
      <c r="AW26" s="150"/>
      <c r="AX26" s="160"/>
      <c r="AY26" s="161"/>
      <c r="AZ26" s="296">
        <f>(X14+AG14+AP14)/1000</f>
        <v>3153.775</v>
      </c>
      <c r="BA26" s="279">
        <v>17</v>
      </c>
      <c r="BB26" s="284">
        <f>AZ26*BA26</f>
        <v>53614.175</v>
      </c>
    </row>
    <row r="27" spans="1:54" ht="12.75">
      <c r="A27" s="143" t="s">
        <v>223</v>
      </c>
      <c r="B27" s="143" t="s">
        <v>235</v>
      </c>
      <c r="C27" s="197">
        <v>623125232</v>
      </c>
      <c r="D27" s="325">
        <v>9159.606</v>
      </c>
      <c r="E27" s="325">
        <v>9240.7087</v>
      </c>
      <c r="F27" s="175">
        <v>1800</v>
      </c>
      <c r="G27" s="326">
        <f t="shared" si="1"/>
        <v>81.10269999999946</v>
      </c>
      <c r="H27" s="171"/>
      <c r="I27" s="175">
        <f>ROUND(G27*F27,0)</f>
        <v>145985</v>
      </c>
      <c r="J27" s="120"/>
      <c r="K27" s="160"/>
      <c r="L27" s="160"/>
      <c r="M27" s="160"/>
      <c r="N27" s="160"/>
      <c r="O27" s="160"/>
      <c r="P27" s="190"/>
      <c r="Q27" s="238"/>
      <c r="R27" s="237"/>
      <c r="S27" s="179"/>
      <c r="T27" s="160"/>
      <c r="U27" s="160"/>
      <c r="V27" s="160"/>
      <c r="W27" s="180"/>
      <c r="X27" s="180"/>
      <c r="Y27" s="181"/>
      <c r="Z27" s="180"/>
      <c r="AA27" s="181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03" t="s">
        <v>185</v>
      </c>
      <c r="AU27" s="148"/>
      <c r="AV27" s="148"/>
      <c r="AW27" s="148"/>
      <c r="AX27" s="146"/>
      <c r="AY27" s="147"/>
      <c r="AZ27" s="296">
        <v>2.26</v>
      </c>
      <c r="BA27" s="279">
        <v>35268</v>
      </c>
      <c r="BB27" s="279">
        <f>AZ27*BA27</f>
        <v>79705.68</v>
      </c>
    </row>
    <row r="28" spans="1:54" ht="12.75">
      <c r="A28" s="144"/>
      <c r="B28" s="144" t="s">
        <v>222</v>
      </c>
      <c r="C28" s="169"/>
      <c r="D28" s="228"/>
      <c r="E28" s="228"/>
      <c r="F28" s="164"/>
      <c r="G28" s="227"/>
      <c r="H28" s="169"/>
      <c r="I28" s="164"/>
      <c r="J28" s="160" t="s">
        <v>279</v>
      </c>
      <c r="K28" s="160"/>
      <c r="L28" s="264"/>
      <c r="M28" s="181"/>
      <c r="N28" s="265"/>
      <c r="O28" s="265"/>
      <c r="P28" s="188"/>
      <c r="Q28" s="160"/>
      <c r="R28" s="190"/>
      <c r="S28" s="120"/>
      <c r="T28" s="120"/>
      <c r="U28" s="120"/>
      <c r="V28" s="120"/>
      <c r="W28" s="120"/>
      <c r="X28" s="120"/>
      <c r="Y28" s="120"/>
      <c r="Z28" s="120"/>
      <c r="AA28" s="120"/>
      <c r="AB28" s="120" t="s">
        <v>447</v>
      </c>
      <c r="AC28" s="120"/>
      <c r="AD28" s="120"/>
      <c r="AE28" s="120"/>
      <c r="AF28" s="120"/>
      <c r="AG28" s="120" t="s">
        <v>450</v>
      </c>
      <c r="AH28" s="120"/>
      <c r="AI28" s="120" t="s">
        <v>451</v>
      </c>
      <c r="AJ28" s="120"/>
      <c r="AK28" s="120" t="s">
        <v>447</v>
      </c>
      <c r="AL28" s="120"/>
      <c r="AM28" s="120"/>
      <c r="AN28" s="120"/>
      <c r="AO28" s="120"/>
      <c r="AP28" s="120" t="s">
        <v>151</v>
      </c>
      <c r="AQ28" s="120"/>
      <c r="AR28" s="120" t="s">
        <v>152</v>
      </c>
      <c r="AS28" s="120"/>
      <c r="AT28" s="159" t="s">
        <v>186</v>
      </c>
      <c r="AU28" s="160"/>
      <c r="AV28" s="160"/>
      <c r="AW28" s="160"/>
      <c r="AX28" s="146"/>
      <c r="AY28" s="147"/>
      <c r="AZ28" s="296">
        <f>(Z14+AI14+AR14)/1000</f>
        <v>520.265</v>
      </c>
      <c r="BA28" s="279">
        <v>17</v>
      </c>
      <c r="BB28" s="284">
        <f>AZ28*BA28</f>
        <v>8844.505</v>
      </c>
    </row>
    <row r="29" spans="1:54" ht="12.75">
      <c r="A29" s="143" t="s">
        <v>225</v>
      </c>
      <c r="B29" s="143" t="s">
        <v>236</v>
      </c>
      <c r="C29" s="197">
        <v>623125667</v>
      </c>
      <c r="D29" s="325">
        <v>9802.656</v>
      </c>
      <c r="E29" s="325">
        <v>9891.512</v>
      </c>
      <c r="F29" s="175">
        <v>1800</v>
      </c>
      <c r="G29" s="326">
        <f t="shared" si="1"/>
        <v>88.85599999999977</v>
      </c>
      <c r="H29" s="171"/>
      <c r="I29" s="175">
        <f>ROUND(G29*F29,0)</f>
        <v>159941</v>
      </c>
      <c r="J29" s="160"/>
      <c r="K29" s="160"/>
      <c r="L29" s="181"/>
      <c r="M29" s="181"/>
      <c r="N29" s="188"/>
      <c r="O29" s="188"/>
      <c r="P29" s="188"/>
      <c r="Q29" s="160"/>
      <c r="R29" s="190"/>
      <c r="S29" s="120"/>
      <c r="T29" s="120"/>
      <c r="U29" s="120"/>
      <c r="V29" s="120"/>
      <c r="W29" s="120"/>
      <c r="X29" s="120"/>
      <c r="Y29" s="120"/>
      <c r="Z29" s="120"/>
      <c r="AA29" s="120"/>
      <c r="AB29" s="120" t="s">
        <v>527</v>
      </c>
      <c r="AC29" s="120"/>
      <c r="AD29" s="120"/>
      <c r="AE29" s="120"/>
      <c r="AF29" s="120"/>
      <c r="AG29" s="120" t="s">
        <v>150</v>
      </c>
      <c r="AH29" s="120"/>
      <c r="AI29" s="120"/>
      <c r="AJ29" s="120"/>
      <c r="AK29" s="120" t="s">
        <v>527</v>
      </c>
      <c r="AL29" s="120"/>
      <c r="AM29" s="120"/>
      <c r="AN29" s="120"/>
      <c r="AO29" s="120"/>
      <c r="AP29" s="120" t="s">
        <v>150</v>
      </c>
      <c r="AQ29" s="120"/>
      <c r="AR29" s="120"/>
      <c r="AS29" s="120"/>
      <c r="AT29" s="145"/>
      <c r="AU29" s="146"/>
      <c r="AV29" s="146"/>
      <c r="AW29" s="146"/>
      <c r="AX29" s="146"/>
      <c r="AY29" s="147"/>
      <c r="AZ29" s="280"/>
      <c r="BA29" s="287"/>
      <c r="BB29" s="284"/>
    </row>
    <row r="30" spans="1:54" ht="12.75">
      <c r="A30" s="144"/>
      <c r="B30" s="144" t="s">
        <v>222</v>
      </c>
      <c r="C30" s="169"/>
      <c r="D30" s="228"/>
      <c r="E30" s="228"/>
      <c r="F30" s="164"/>
      <c r="G30" s="227"/>
      <c r="H30" s="169"/>
      <c r="I30" s="164"/>
      <c r="J30" s="160"/>
      <c r="K30" s="160"/>
      <c r="L30" s="181"/>
      <c r="M30" s="181"/>
      <c r="N30" s="188"/>
      <c r="O30" s="188"/>
      <c r="P30" s="188"/>
      <c r="Q30" s="160"/>
      <c r="R30" s="19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45"/>
      <c r="AU30" s="146"/>
      <c r="AV30" s="146"/>
      <c r="AW30" s="146"/>
      <c r="AX30" s="146"/>
      <c r="AY30" s="147"/>
      <c r="AZ30" s="280"/>
      <c r="BA30" s="287"/>
      <c r="BB30" s="284"/>
    </row>
    <row r="31" spans="1:54" ht="12.75">
      <c r="A31" s="143" t="s">
        <v>226</v>
      </c>
      <c r="B31" s="143" t="s">
        <v>237</v>
      </c>
      <c r="C31" s="197">
        <v>623126370</v>
      </c>
      <c r="D31" s="325">
        <v>2639.0947</v>
      </c>
      <c r="E31" s="325">
        <v>2655.8877</v>
      </c>
      <c r="F31" s="175">
        <v>4800</v>
      </c>
      <c r="G31" s="326">
        <f t="shared" si="1"/>
        <v>16.79300000000012</v>
      </c>
      <c r="H31" s="171"/>
      <c r="I31" s="175">
        <f>ROUND(G31*F31,0)</f>
        <v>80606</v>
      </c>
      <c r="J31" s="160"/>
      <c r="K31" s="160"/>
      <c r="L31" s="264"/>
      <c r="M31" s="181"/>
      <c r="N31" s="265" t="s">
        <v>280</v>
      </c>
      <c r="O31" s="265"/>
      <c r="P31" s="188"/>
      <c r="Q31" s="160"/>
      <c r="R31" s="190"/>
      <c r="S31" s="120" t="s">
        <v>447</v>
      </c>
      <c r="T31" s="120"/>
      <c r="U31" s="120"/>
      <c r="V31" s="120"/>
      <c r="W31" s="120"/>
      <c r="X31" s="120" t="s">
        <v>450</v>
      </c>
      <c r="Y31" s="120"/>
      <c r="Z31" s="120" t="s">
        <v>451</v>
      </c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45"/>
      <c r="AU31" s="146"/>
      <c r="AV31" s="146"/>
      <c r="AW31" s="146"/>
      <c r="AX31" s="146"/>
      <c r="AY31" s="147"/>
      <c r="AZ31" s="280"/>
      <c r="BA31" s="287"/>
      <c r="BB31" s="284"/>
    </row>
    <row r="32" spans="1:54" ht="12.75">
      <c r="A32" s="144"/>
      <c r="B32" s="144" t="s">
        <v>222</v>
      </c>
      <c r="C32" s="169"/>
      <c r="D32" s="228"/>
      <c r="E32" s="228"/>
      <c r="F32" s="164"/>
      <c r="G32" s="227"/>
      <c r="H32" s="169"/>
      <c r="I32" s="164"/>
      <c r="J32" s="160"/>
      <c r="K32" s="160"/>
      <c r="L32" s="181"/>
      <c r="M32" s="181"/>
      <c r="N32" s="265" t="s">
        <v>529</v>
      </c>
      <c r="O32" s="265"/>
      <c r="P32" s="188"/>
      <c r="Q32" s="160"/>
      <c r="R32" s="190"/>
      <c r="S32" s="120" t="s">
        <v>527</v>
      </c>
      <c r="T32" s="120"/>
      <c r="U32" s="120"/>
      <c r="V32" s="120"/>
      <c r="W32" s="120"/>
      <c r="X32" s="120" t="s">
        <v>150</v>
      </c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45" t="s">
        <v>432</v>
      </c>
      <c r="AU32" s="146"/>
      <c r="AV32" s="146"/>
      <c r="AW32" s="146"/>
      <c r="AX32" s="146"/>
      <c r="AY32" s="147"/>
      <c r="AZ32" s="280"/>
      <c r="BA32" s="298"/>
      <c r="BB32" s="279"/>
    </row>
    <row r="33" spans="1:54" ht="12.75">
      <c r="A33" s="143" t="s">
        <v>227</v>
      </c>
      <c r="B33" s="143" t="s">
        <v>238</v>
      </c>
      <c r="C33" s="197">
        <v>623125137</v>
      </c>
      <c r="D33" s="325">
        <v>2156.0947</v>
      </c>
      <c r="E33" s="325">
        <v>2186.3806</v>
      </c>
      <c r="F33" s="175">
        <v>4800</v>
      </c>
      <c r="G33" s="326">
        <f t="shared" si="1"/>
        <v>30.285899999999856</v>
      </c>
      <c r="H33" s="171"/>
      <c r="I33" s="175">
        <f>ROUND(G33*F33,0)</f>
        <v>145372</v>
      </c>
      <c r="J33" s="160"/>
      <c r="K33" s="160"/>
      <c r="L33" s="264"/>
      <c r="M33" s="181"/>
      <c r="N33" s="265" t="s">
        <v>563</v>
      </c>
      <c r="O33" s="265"/>
      <c r="P33" s="188"/>
      <c r="Q33" s="160"/>
      <c r="R33" s="190"/>
      <c r="S33" s="120"/>
      <c r="T33" s="120"/>
      <c r="U33" s="120"/>
      <c r="V33" s="120"/>
      <c r="W33" s="120"/>
      <c r="X33" s="120"/>
      <c r="Y33" s="120"/>
      <c r="Z33" s="120"/>
      <c r="AA33" s="120"/>
      <c r="AB33" s="120" t="s">
        <v>149</v>
      </c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45" t="s">
        <v>430</v>
      </c>
      <c r="AU33" s="146"/>
      <c r="AV33" s="146"/>
      <c r="AW33" s="146"/>
      <c r="AX33" s="146"/>
      <c r="AY33" s="147"/>
      <c r="AZ33" s="280"/>
      <c r="BA33" s="287"/>
      <c r="BB33" s="279"/>
    </row>
    <row r="34" spans="1:54" ht="12.75">
      <c r="A34" s="144"/>
      <c r="B34" s="144" t="s">
        <v>222</v>
      </c>
      <c r="C34" s="169"/>
      <c r="D34" s="228"/>
      <c r="E34" s="228"/>
      <c r="F34" s="164"/>
      <c r="G34" s="227"/>
      <c r="H34" s="169"/>
      <c r="I34" s="164"/>
      <c r="J34" s="160"/>
      <c r="K34" s="160"/>
      <c r="L34" s="181"/>
      <c r="M34" s="181"/>
      <c r="N34" s="265"/>
      <c r="O34" s="265"/>
      <c r="P34" s="188"/>
      <c r="Q34" s="160"/>
      <c r="R34" s="190"/>
      <c r="S34" s="120"/>
      <c r="T34" s="120"/>
      <c r="U34" s="120"/>
      <c r="V34" s="120"/>
      <c r="W34" s="120"/>
      <c r="X34" s="120"/>
      <c r="Y34" s="120"/>
      <c r="Z34" s="120"/>
      <c r="AA34" s="120"/>
      <c r="AB34" s="120" t="s">
        <v>18</v>
      </c>
      <c r="AC34" s="120"/>
      <c r="AD34" s="120"/>
      <c r="AE34" s="120"/>
      <c r="AF34" s="120"/>
      <c r="AG34" s="120"/>
      <c r="AH34" s="120"/>
      <c r="AI34" s="120"/>
      <c r="AJ34" s="120"/>
      <c r="AK34" s="120" t="s">
        <v>149</v>
      </c>
      <c r="AL34" s="120"/>
      <c r="AM34" s="120"/>
      <c r="AN34" s="120"/>
      <c r="AO34" s="120"/>
      <c r="AP34" s="120"/>
      <c r="AQ34" s="120"/>
      <c r="AR34" s="120"/>
      <c r="AS34" s="120"/>
      <c r="AT34" s="145" t="s">
        <v>437</v>
      </c>
      <c r="AU34" s="146"/>
      <c r="AV34" s="146"/>
      <c r="AW34" s="146"/>
      <c r="AX34" s="146"/>
      <c r="AY34" s="147"/>
      <c r="AZ34" s="280"/>
      <c r="BA34" s="293"/>
      <c r="BB34" s="279"/>
    </row>
    <row r="35" spans="1:54" ht="12.75">
      <c r="A35" s="143" t="s">
        <v>228</v>
      </c>
      <c r="B35" s="143" t="s">
        <v>239</v>
      </c>
      <c r="C35" s="197">
        <v>623125142</v>
      </c>
      <c r="D35" s="325">
        <v>13532.8324</v>
      </c>
      <c r="E35" s="325">
        <v>13650.7464</v>
      </c>
      <c r="F35" s="175">
        <v>2400</v>
      </c>
      <c r="G35" s="326">
        <f t="shared" si="1"/>
        <v>117.91400000000067</v>
      </c>
      <c r="H35" s="171"/>
      <c r="I35" s="175">
        <f>ROUND(G35*F35,0)</f>
        <v>282994</v>
      </c>
      <c r="J35" s="160"/>
      <c r="K35" s="160"/>
      <c r="L35" s="264"/>
      <c r="M35" s="181"/>
      <c r="N35" s="266" t="s">
        <v>283</v>
      </c>
      <c r="O35" s="266"/>
      <c r="P35" s="188"/>
      <c r="Q35" s="160"/>
      <c r="R35" s="190"/>
      <c r="S35" s="120"/>
      <c r="T35" s="120"/>
      <c r="U35" s="120"/>
      <c r="V35" s="120"/>
      <c r="W35" s="120"/>
      <c r="X35" s="120"/>
      <c r="Y35" s="120"/>
      <c r="Z35" s="120"/>
      <c r="AA35" s="120"/>
      <c r="AB35" s="120" t="s">
        <v>167</v>
      </c>
      <c r="AC35" s="120"/>
      <c r="AD35" s="120"/>
      <c r="AE35" s="120"/>
      <c r="AF35" s="120"/>
      <c r="AG35" s="120" t="s">
        <v>134</v>
      </c>
      <c r="AH35" s="120"/>
      <c r="AI35" s="120" t="s">
        <v>133</v>
      </c>
      <c r="AJ35" s="120"/>
      <c r="AK35" s="120" t="s">
        <v>462</v>
      </c>
      <c r="AL35" s="120"/>
      <c r="AM35" s="120"/>
      <c r="AN35" s="120"/>
      <c r="AO35" s="120"/>
      <c r="AP35" s="120"/>
      <c r="AQ35" s="120" t="s">
        <v>463</v>
      </c>
      <c r="AR35" s="120"/>
      <c r="AS35" s="120"/>
      <c r="AT35" s="145" t="s">
        <v>430</v>
      </c>
      <c r="AU35" s="146"/>
      <c r="AV35" s="146"/>
      <c r="AW35" s="146"/>
      <c r="AX35" s="146"/>
      <c r="AY35" s="147"/>
      <c r="AZ35" s="280"/>
      <c r="BA35" s="293"/>
      <c r="BB35" s="279"/>
    </row>
    <row r="36" spans="1:54" ht="12.75">
      <c r="A36" s="144"/>
      <c r="B36" s="144" t="s">
        <v>222</v>
      </c>
      <c r="C36" s="169"/>
      <c r="D36" s="228"/>
      <c r="E36" s="228"/>
      <c r="F36" s="164"/>
      <c r="G36" s="227"/>
      <c r="H36" s="169"/>
      <c r="I36" s="164"/>
      <c r="J36" s="160"/>
      <c r="K36" s="239"/>
      <c r="L36" s="181"/>
      <c r="M36" s="181"/>
      <c r="N36" s="267" t="s">
        <v>281</v>
      </c>
      <c r="O36" s="188"/>
      <c r="P36" s="188"/>
      <c r="Q36" s="160"/>
      <c r="R36" s="190"/>
      <c r="S36" s="120"/>
      <c r="T36" s="120"/>
      <c r="U36" s="120"/>
      <c r="V36" s="120"/>
      <c r="W36" s="120"/>
      <c r="X36" s="120"/>
      <c r="Y36" s="120"/>
      <c r="Z36" s="120"/>
      <c r="AA36" s="120"/>
      <c r="AB36" s="120" t="s">
        <v>188</v>
      </c>
      <c r="AC36" s="120"/>
      <c r="AD36" s="120"/>
      <c r="AE36" s="120"/>
      <c r="AF36" s="120"/>
      <c r="AG36" s="120" t="s">
        <v>150</v>
      </c>
      <c r="AH36" s="120"/>
      <c r="AI36" s="120"/>
      <c r="AJ36" s="120"/>
      <c r="AK36" s="120"/>
      <c r="AL36" s="120"/>
      <c r="AM36" s="120"/>
      <c r="AN36" s="120"/>
      <c r="AO36" s="120"/>
      <c r="AP36" s="120"/>
      <c r="AQ36" s="120" t="s">
        <v>150</v>
      </c>
      <c r="AR36" s="120"/>
      <c r="AS36" s="120"/>
      <c r="AT36" s="145" t="s">
        <v>430</v>
      </c>
      <c r="AU36" s="146"/>
      <c r="AV36" s="146"/>
      <c r="AW36" s="146"/>
      <c r="AX36" s="146"/>
      <c r="AY36" s="147"/>
      <c r="AZ36" s="280"/>
      <c r="BA36" s="293"/>
      <c r="BB36" s="279"/>
    </row>
    <row r="37" spans="1:54" ht="12.75">
      <c r="A37" s="143" t="s">
        <v>229</v>
      </c>
      <c r="B37" s="143" t="s">
        <v>240</v>
      </c>
      <c r="C37" s="197">
        <v>623125205</v>
      </c>
      <c r="D37" s="325">
        <v>4681.1962</v>
      </c>
      <c r="E37" s="325">
        <v>4750.5806</v>
      </c>
      <c r="F37" s="175">
        <v>1800</v>
      </c>
      <c r="G37" s="326">
        <f t="shared" si="1"/>
        <v>69.38439999999991</v>
      </c>
      <c r="H37" s="171"/>
      <c r="I37" s="175">
        <f>ROUND(G37*F37,0)</f>
        <v>124892</v>
      </c>
      <c r="J37" s="120"/>
      <c r="K37" s="160"/>
      <c r="L37" s="160"/>
      <c r="M37" s="160"/>
      <c r="N37" s="160"/>
      <c r="O37" s="160"/>
      <c r="P37" s="190"/>
      <c r="Q37" s="236"/>
      <c r="R37" s="237"/>
      <c r="S37" s="120" t="s">
        <v>160</v>
      </c>
      <c r="T37" s="120"/>
      <c r="U37" s="120"/>
      <c r="V37" s="120"/>
      <c r="W37" s="120"/>
      <c r="X37" s="120" t="s">
        <v>450</v>
      </c>
      <c r="Y37" s="120"/>
      <c r="Z37" s="120" t="s">
        <v>137</v>
      </c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46" t="s">
        <v>323</v>
      </c>
      <c r="AU37" s="146"/>
      <c r="AV37" s="146"/>
      <c r="AW37" s="146"/>
      <c r="AX37" s="146"/>
      <c r="AY37" s="147"/>
      <c r="AZ37" s="280"/>
      <c r="BA37" s="287"/>
      <c r="BB37" s="279"/>
    </row>
    <row r="38" spans="1:54" ht="12.75">
      <c r="A38" s="144"/>
      <c r="B38" s="144" t="s">
        <v>222</v>
      </c>
      <c r="C38" s="169"/>
      <c r="D38" s="228"/>
      <c r="E38" s="228"/>
      <c r="F38" s="164"/>
      <c r="G38" s="227"/>
      <c r="H38" s="169"/>
      <c r="I38" s="164"/>
      <c r="J38" s="120"/>
      <c r="K38" s="160"/>
      <c r="L38" s="160"/>
      <c r="M38" s="160"/>
      <c r="N38" s="160"/>
      <c r="O38" s="160"/>
      <c r="P38" s="190"/>
      <c r="Q38" s="236"/>
      <c r="R38" s="237"/>
      <c r="S38" s="120"/>
      <c r="T38" s="120"/>
      <c r="U38" s="120"/>
      <c r="V38" s="120"/>
      <c r="W38" s="120"/>
      <c r="X38" s="120" t="s">
        <v>150</v>
      </c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45" t="s">
        <v>430</v>
      </c>
      <c r="AU38" s="146"/>
      <c r="AV38" s="146" t="s">
        <v>96</v>
      </c>
      <c r="AW38" s="146"/>
      <c r="AX38" s="146"/>
      <c r="AY38" s="147"/>
      <c r="AZ38" s="280"/>
      <c r="BA38" s="293"/>
      <c r="BB38" s="279"/>
    </row>
    <row r="39" spans="1:54" ht="12.75">
      <c r="A39" s="143" t="s">
        <v>230</v>
      </c>
      <c r="B39" s="143" t="s">
        <v>241</v>
      </c>
      <c r="C39" s="197">
        <v>623123704</v>
      </c>
      <c r="D39" s="325">
        <v>7480.6587</v>
      </c>
      <c r="E39" s="325">
        <v>7638.3378</v>
      </c>
      <c r="F39" s="175">
        <v>1800</v>
      </c>
      <c r="G39" s="326">
        <f t="shared" si="1"/>
        <v>157.6791000000003</v>
      </c>
      <c r="H39" s="171"/>
      <c r="I39" s="175">
        <f>ROUND(G39*F39,0)</f>
        <v>283822</v>
      </c>
      <c r="J39" s="120"/>
      <c r="K39" s="160"/>
      <c r="L39" s="160"/>
      <c r="M39" s="160"/>
      <c r="N39" s="160"/>
      <c r="O39" s="160"/>
      <c r="P39" s="190"/>
      <c r="Q39" s="236"/>
      <c r="R39" s="237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45" t="s">
        <v>431</v>
      </c>
      <c r="AU39" s="146"/>
      <c r="AV39" s="146" t="s">
        <v>416</v>
      </c>
      <c r="AW39" s="146"/>
      <c r="AX39" s="146"/>
      <c r="AY39" s="147"/>
      <c r="AZ39" s="280"/>
      <c r="BA39" s="293"/>
      <c r="BB39" s="279"/>
    </row>
    <row r="40" spans="1:54" ht="12.75">
      <c r="A40" s="144"/>
      <c r="B40" s="144" t="s">
        <v>222</v>
      </c>
      <c r="C40" s="169"/>
      <c r="D40" s="228"/>
      <c r="E40" s="228"/>
      <c r="F40" s="164"/>
      <c r="G40" s="227"/>
      <c r="H40" s="169"/>
      <c r="I40" s="164"/>
      <c r="J40" s="120"/>
      <c r="K40" s="160"/>
      <c r="L40" s="160"/>
      <c r="M40" s="160"/>
      <c r="N40" s="160"/>
      <c r="O40" s="160"/>
      <c r="P40" s="190"/>
      <c r="Q40" s="236"/>
      <c r="R40" s="237"/>
      <c r="S40" s="239"/>
      <c r="T40" s="268"/>
      <c r="U40" s="160"/>
      <c r="V40" s="160"/>
      <c r="W40" s="188"/>
      <c r="X40" s="188"/>
      <c r="Y40" s="269"/>
      <c r="Z40" s="160"/>
      <c r="AA40" s="19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45"/>
      <c r="AU40" s="146"/>
      <c r="AV40" s="146"/>
      <c r="AW40" s="146"/>
      <c r="AX40" s="146"/>
      <c r="AY40" s="147"/>
      <c r="AZ40" s="280"/>
      <c r="BA40" s="293"/>
      <c r="BB40" s="279"/>
    </row>
    <row r="41" spans="1:54" ht="12.75">
      <c r="A41" s="143" t="s">
        <v>231</v>
      </c>
      <c r="B41" s="143" t="s">
        <v>242</v>
      </c>
      <c r="C41" s="197">
        <v>623125794</v>
      </c>
      <c r="D41" s="325">
        <v>76.1735</v>
      </c>
      <c r="E41" s="325">
        <v>76.8268</v>
      </c>
      <c r="F41" s="175">
        <v>1800</v>
      </c>
      <c r="G41" s="326">
        <f t="shared" si="1"/>
        <v>0.6533000000000015</v>
      </c>
      <c r="H41" s="171"/>
      <c r="I41" s="175">
        <f>ROUND(G41*F41,0)</f>
        <v>1176</v>
      </c>
      <c r="J41" s="120"/>
      <c r="K41" s="160"/>
      <c r="L41" s="160"/>
      <c r="M41" s="160"/>
      <c r="N41" s="160"/>
      <c r="O41" s="160"/>
      <c r="P41" s="190"/>
      <c r="Q41" s="236"/>
      <c r="R41" s="237"/>
      <c r="S41" s="239"/>
      <c r="T41" s="268"/>
      <c r="U41" s="160"/>
      <c r="V41" s="160"/>
      <c r="W41" s="188"/>
      <c r="X41" s="188"/>
      <c r="Y41" s="269"/>
      <c r="Z41" s="160"/>
      <c r="AA41" s="19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45"/>
      <c r="AU41" s="146"/>
      <c r="AV41" s="146"/>
      <c r="AW41" s="146"/>
      <c r="AX41" s="146"/>
      <c r="AY41" s="147"/>
      <c r="AZ41" s="280"/>
      <c r="BA41" s="293"/>
      <c r="BB41" s="279"/>
    </row>
    <row r="42" spans="1:54" ht="12.75">
      <c r="A42" s="144"/>
      <c r="B42" s="144" t="s">
        <v>222</v>
      </c>
      <c r="C42" s="169"/>
      <c r="D42" s="228"/>
      <c r="E42" s="228"/>
      <c r="F42" s="164"/>
      <c r="G42" s="227"/>
      <c r="H42" s="169"/>
      <c r="I42" s="164"/>
      <c r="J42" s="120"/>
      <c r="K42" s="160"/>
      <c r="L42" s="160"/>
      <c r="M42" s="160"/>
      <c r="N42" s="160"/>
      <c r="O42" s="160"/>
      <c r="P42" s="190"/>
      <c r="Q42" s="236"/>
      <c r="R42" s="237"/>
      <c r="S42" s="268"/>
      <c r="T42" s="239"/>
      <c r="U42" s="160"/>
      <c r="V42" s="160"/>
      <c r="W42" s="160"/>
      <c r="X42" s="160"/>
      <c r="Y42" s="160"/>
      <c r="Z42" s="160"/>
      <c r="AA42" s="19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45"/>
      <c r="AU42" s="146"/>
      <c r="AV42" s="146"/>
      <c r="AW42" s="146"/>
      <c r="AX42" s="146"/>
      <c r="AY42" s="147"/>
      <c r="AZ42" s="280"/>
      <c r="BA42" s="287"/>
      <c r="BB42" s="279"/>
    </row>
    <row r="43" spans="1:54" ht="12.75">
      <c r="A43" s="143" t="s">
        <v>232</v>
      </c>
      <c r="B43" s="143" t="s">
        <v>243</v>
      </c>
      <c r="C43" s="197">
        <v>623125736</v>
      </c>
      <c r="D43" s="325">
        <v>4114.8773</v>
      </c>
      <c r="E43" s="325">
        <v>4188.1885</v>
      </c>
      <c r="F43" s="175">
        <v>1200</v>
      </c>
      <c r="G43" s="326">
        <f t="shared" si="1"/>
        <v>73.3112000000001</v>
      </c>
      <c r="H43" s="171"/>
      <c r="I43" s="175">
        <f>ROUND(G43*F43,0)</f>
        <v>87973</v>
      </c>
      <c r="J43" s="120"/>
      <c r="K43" s="160"/>
      <c r="L43" s="160"/>
      <c r="M43" s="160"/>
      <c r="N43" s="160"/>
      <c r="O43" s="160"/>
      <c r="P43" s="190"/>
      <c r="Q43" s="236"/>
      <c r="R43" s="237"/>
      <c r="S43" s="239"/>
      <c r="T43" s="268"/>
      <c r="U43" s="160"/>
      <c r="V43" s="160"/>
      <c r="W43" s="188"/>
      <c r="X43" s="188"/>
      <c r="Y43" s="269"/>
      <c r="Z43" s="160"/>
      <c r="AA43" s="19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45" t="s">
        <v>323</v>
      </c>
      <c r="AU43" s="146"/>
      <c r="AV43" s="146"/>
      <c r="AW43" s="146"/>
      <c r="AX43" s="146"/>
      <c r="AY43" s="147"/>
      <c r="AZ43" s="280"/>
      <c r="BA43" s="293"/>
      <c r="BB43" s="279"/>
    </row>
    <row r="44" spans="1:54" ht="12.75">
      <c r="A44" s="144"/>
      <c r="B44" s="144" t="s">
        <v>222</v>
      </c>
      <c r="C44" s="168"/>
      <c r="D44" s="228"/>
      <c r="E44" s="228"/>
      <c r="F44" s="164"/>
      <c r="G44" s="227"/>
      <c r="H44" s="169"/>
      <c r="I44" s="164"/>
      <c r="J44" s="160"/>
      <c r="K44" s="160"/>
      <c r="L44" s="160"/>
      <c r="M44" s="160"/>
      <c r="N44" s="160"/>
      <c r="O44" s="160"/>
      <c r="P44" s="190"/>
      <c r="Q44" s="236"/>
      <c r="R44" s="237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45"/>
      <c r="AU44" s="146"/>
      <c r="AV44" s="146"/>
      <c r="AW44" s="146"/>
      <c r="AX44" s="146"/>
      <c r="AY44" s="147"/>
      <c r="AZ44" s="280"/>
      <c r="BA44" s="287"/>
      <c r="BB44" s="279"/>
    </row>
    <row r="45" spans="1:54" ht="12.75">
      <c r="A45" s="143" t="s">
        <v>233</v>
      </c>
      <c r="B45" s="145" t="s">
        <v>234</v>
      </c>
      <c r="C45" s="197">
        <v>1110171156</v>
      </c>
      <c r="D45" s="325">
        <v>11700.5836</v>
      </c>
      <c r="E45" s="325">
        <v>11937.7976</v>
      </c>
      <c r="F45" s="175">
        <v>40</v>
      </c>
      <c r="G45" s="326">
        <f>E45-D45</f>
        <v>237.21399999999994</v>
      </c>
      <c r="H45" s="171"/>
      <c r="I45" s="175">
        <f>ROUND(G45*F45,0)</f>
        <v>9489</v>
      </c>
      <c r="J45" s="160"/>
      <c r="K45" s="160"/>
      <c r="L45" s="160"/>
      <c r="M45" s="160"/>
      <c r="N45" s="160"/>
      <c r="O45" s="160"/>
      <c r="P45" s="190"/>
      <c r="Q45" s="238"/>
      <c r="R45" s="237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45" t="s">
        <v>3</v>
      </c>
      <c r="AU45" s="146"/>
      <c r="AV45" s="146"/>
      <c r="AW45" s="146"/>
      <c r="AX45" s="146"/>
      <c r="AY45" s="147"/>
      <c r="AZ45" s="280"/>
      <c r="BA45" s="287"/>
      <c r="BB45" s="279"/>
    </row>
    <row r="46" spans="1:54" ht="12.75">
      <c r="A46" s="144"/>
      <c r="B46" s="103" t="s">
        <v>222</v>
      </c>
      <c r="C46" s="198"/>
      <c r="D46" s="378"/>
      <c r="E46" s="325"/>
      <c r="F46" s="175"/>
      <c r="G46" s="326"/>
      <c r="H46" s="171"/>
      <c r="I46" s="175"/>
      <c r="J46" s="160"/>
      <c r="K46" s="160"/>
      <c r="L46" s="160"/>
      <c r="M46" s="160"/>
      <c r="N46" s="160"/>
      <c r="O46" s="160"/>
      <c r="P46" s="190"/>
      <c r="Q46" s="236"/>
      <c r="R46" s="237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45"/>
      <c r="AU46" s="146"/>
      <c r="AV46" s="146" t="s">
        <v>330</v>
      </c>
      <c r="AW46" s="146"/>
      <c r="AX46" s="146"/>
      <c r="AY46" s="147"/>
      <c r="AZ46" s="280"/>
      <c r="BA46" s="298"/>
      <c r="BB46" s="279"/>
    </row>
    <row r="47" spans="1:54" ht="12.75">
      <c r="A47" s="201"/>
      <c r="B47" s="150"/>
      <c r="C47" s="191"/>
      <c r="D47" s="199"/>
      <c r="E47" s="200"/>
      <c r="F47" s="200"/>
      <c r="G47" s="215" t="s">
        <v>244</v>
      </c>
      <c r="H47" s="151"/>
      <c r="I47" s="235">
        <f>ROUND((SUM(I25:I46)+I20),0)</f>
        <v>3462197</v>
      </c>
      <c r="J47" s="160"/>
      <c r="K47" s="160"/>
      <c r="L47" s="160"/>
      <c r="M47" s="160"/>
      <c r="N47" s="160"/>
      <c r="O47" s="160"/>
      <c r="P47" s="190"/>
      <c r="Q47" s="238"/>
      <c r="R47" s="237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45"/>
      <c r="AU47" s="146"/>
      <c r="AV47" s="146"/>
      <c r="AW47" s="146"/>
      <c r="AX47" s="146"/>
      <c r="AY47" s="147"/>
      <c r="AZ47" s="280"/>
      <c r="BA47" s="287"/>
      <c r="BB47" s="279"/>
    </row>
    <row r="48" spans="1:54" ht="12.75">
      <c r="A48" s="143" t="s">
        <v>247</v>
      </c>
      <c r="B48" s="145" t="s">
        <v>245</v>
      </c>
      <c r="C48" s="202"/>
      <c r="D48" s="202"/>
      <c r="E48" s="203"/>
      <c r="F48" s="203"/>
      <c r="G48" s="204"/>
      <c r="H48" s="146"/>
      <c r="I48" s="205"/>
      <c r="J48" s="160"/>
      <c r="K48" s="160"/>
      <c r="L48" s="160"/>
      <c r="M48" s="160"/>
      <c r="N48" s="160"/>
      <c r="O48" s="160"/>
      <c r="P48" s="190"/>
      <c r="Q48" s="236"/>
      <c r="R48" s="237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45"/>
      <c r="AU48" s="146"/>
      <c r="AV48" s="146"/>
      <c r="AW48" s="146"/>
      <c r="AX48" s="146"/>
      <c r="AY48" s="147"/>
      <c r="AZ48" s="280"/>
      <c r="BA48" s="298"/>
      <c r="BB48" s="279"/>
    </row>
    <row r="49" spans="1:54" ht="12.75">
      <c r="A49" s="173"/>
      <c r="B49" s="159" t="s">
        <v>246</v>
      </c>
      <c r="C49" s="206"/>
      <c r="D49" s="191"/>
      <c r="E49" s="207"/>
      <c r="F49" s="207"/>
      <c r="G49" s="208"/>
      <c r="H49" s="148"/>
      <c r="I49" s="209"/>
      <c r="J49" s="160"/>
      <c r="K49" s="160"/>
      <c r="L49" s="239"/>
      <c r="M49" s="160"/>
      <c r="N49" s="160"/>
      <c r="O49" s="160"/>
      <c r="P49" s="190"/>
      <c r="Q49" s="236"/>
      <c r="R49" s="237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45"/>
      <c r="AU49" s="146"/>
      <c r="AV49" s="146" t="s">
        <v>330</v>
      </c>
      <c r="AW49" s="146"/>
      <c r="AX49" s="146"/>
      <c r="AY49" s="147"/>
      <c r="AZ49" s="280"/>
      <c r="BA49" s="293"/>
      <c r="BB49" s="279"/>
    </row>
    <row r="50" spans="1:54" ht="12.75">
      <c r="A50" s="145" t="s">
        <v>248</v>
      </c>
      <c r="B50" s="143" t="s">
        <v>484</v>
      </c>
      <c r="C50" s="304"/>
      <c r="D50" s="211"/>
      <c r="E50" s="211"/>
      <c r="F50" s="155"/>
      <c r="G50" s="212"/>
      <c r="H50" s="152"/>
      <c r="I50" s="155"/>
      <c r="J50" s="160"/>
      <c r="K50" s="160"/>
      <c r="L50" s="160"/>
      <c r="M50" s="160"/>
      <c r="N50" s="160"/>
      <c r="O50" s="160"/>
      <c r="P50" s="160"/>
      <c r="Q50" s="160"/>
      <c r="R50" s="16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50"/>
      <c r="AU50" s="150"/>
      <c r="AV50" s="270" t="s">
        <v>534</v>
      </c>
      <c r="AW50" s="150"/>
      <c r="AX50" s="150"/>
      <c r="AY50" s="151"/>
      <c r="AZ50" s="280"/>
      <c r="BA50" s="293"/>
      <c r="BB50" s="279"/>
    </row>
    <row r="51" spans="1:54" ht="12.75">
      <c r="A51" s="159"/>
      <c r="B51" s="173"/>
      <c r="C51" s="305">
        <v>611127627</v>
      </c>
      <c r="D51" s="302">
        <v>5898.0488</v>
      </c>
      <c r="E51" s="302">
        <v>5955.488</v>
      </c>
      <c r="F51" s="155">
        <v>40</v>
      </c>
      <c r="G51" s="252">
        <f>E51-D51</f>
        <v>57.43920000000071</v>
      </c>
      <c r="H51" s="155"/>
      <c r="I51" s="155">
        <f>ROUND(F51*G51+H51,0)</f>
        <v>2298</v>
      </c>
      <c r="J51" s="160"/>
      <c r="K51" s="160"/>
      <c r="L51" s="160"/>
      <c r="M51" s="160"/>
      <c r="N51" s="160"/>
      <c r="O51" s="160"/>
      <c r="P51" s="160"/>
      <c r="Q51" s="160"/>
      <c r="R51" s="16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60"/>
      <c r="AU51" s="120"/>
      <c r="AV51" s="120"/>
      <c r="AW51" s="120"/>
      <c r="AX51" s="120"/>
      <c r="AY51" s="120"/>
      <c r="AZ51" s="120"/>
      <c r="BA51" s="120"/>
      <c r="BB51" s="120"/>
    </row>
    <row r="52" spans="1:54" ht="12.75">
      <c r="A52" s="159"/>
      <c r="B52" s="144" t="s">
        <v>467</v>
      </c>
      <c r="C52" s="305"/>
      <c r="D52" s="306"/>
      <c r="E52" s="306"/>
      <c r="F52" s="155"/>
      <c r="G52" s="212"/>
      <c r="H52" s="155"/>
      <c r="I52" s="155"/>
      <c r="J52" s="160"/>
      <c r="K52" s="160"/>
      <c r="L52" s="160"/>
      <c r="M52" s="160"/>
      <c r="N52" s="160"/>
      <c r="O52" s="160"/>
      <c r="P52" s="160"/>
      <c r="Q52" s="160"/>
      <c r="R52" s="16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60"/>
      <c r="AU52" s="120"/>
      <c r="AV52" s="120"/>
      <c r="AW52" s="120"/>
      <c r="AX52" s="120"/>
      <c r="AY52" s="120"/>
      <c r="AZ52" s="120"/>
      <c r="BA52" s="120"/>
      <c r="BB52" s="120"/>
    </row>
    <row r="53" spans="1:54" ht="12.75">
      <c r="A53" s="143" t="s">
        <v>251</v>
      </c>
      <c r="B53" s="161"/>
      <c r="C53" s="213">
        <v>810120245</v>
      </c>
      <c r="D53" s="302">
        <v>3656.8401</v>
      </c>
      <c r="E53" s="302">
        <v>3659.8257</v>
      </c>
      <c r="F53" s="155">
        <v>3600</v>
      </c>
      <c r="G53" s="252">
        <f>E53-D53</f>
        <v>2.9855999999999767</v>
      </c>
      <c r="H53" s="155"/>
      <c r="I53" s="155">
        <f>ROUND(F53*G53+H53,0)</f>
        <v>10748</v>
      </c>
      <c r="J53" s="160"/>
      <c r="K53" s="160"/>
      <c r="L53" s="160"/>
      <c r="M53" s="160"/>
      <c r="N53" s="160"/>
      <c r="O53" s="160"/>
      <c r="P53" s="160"/>
      <c r="Q53" s="160"/>
      <c r="R53" s="16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60" t="s">
        <v>574</v>
      </c>
      <c r="AU53" s="120"/>
      <c r="AV53" s="120"/>
      <c r="AW53" s="120"/>
      <c r="AX53" s="120"/>
      <c r="AY53" s="120"/>
      <c r="AZ53" s="120"/>
      <c r="BA53" s="120"/>
      <c r="BB53" s="120"/>
    </row>
    <row r="54" spans="1:54" ht="12.75">
      <c r="A54" s="173"/>
      <c r="B54" s="161" t="s">
        <v>494</v>
      </c>
      <c r="C54" s="213"/>
      <c r="D54" s="302"/>
      <c r="E54" s="302"/>
      <c r="F54" s="155"/>
      <c r="G54" s="252"/>
      <c r="H54" s="96"/>
      <c r="I54" s="155"/>
      <c r="J54" s="160"/>
      <c r="K54" s="160"/>
      <c r="L54" s="160"/>
      <c r="M54" s="160"/>
      <c r="N54" s="160"/>
      <c r="O54" s="160"/>
      <c r="P54" s="160"/>
      <c r="Q54" s="160"/>
      <c r="R54" s="16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60"/>
      <c r="AU54" s="120"/>
      <c r="AV54" s="120"/>
      <c r="AW54" s="120"/>
      <c r="AX54" s="120"/>
      <c r="AY54" s="120"/>
      <c r="AZ54" s="120"/>
      <c r="BA54" s="120"/>
      <c r="BB54" s="120"/>
    </row>
    <row r="55" spans="1:54" ht="12.75">
      <c r="A55" s="173"/>
      <c r="B55" s="161"/>
      <c r="C55" s="210">
        <v>4050284</v>
      </c>
      <c r="D55" s="230">
        <v>4155.2958</v>
      </c>
      <c r="E55" s="230">
        <v>4193.7433</v>
      </c>
      <c r="F55" s="155">
        <v>3600</v>
      </c>
      <c r="G55" s="253">
        <f>E55-D55</f>
        <v>38.44750000000022</v>
      </c>
      <c r="H55" s="96"/>
      <c r="I55" s="155">
        <f>ROUND(F55*G55+H55,0)</f>
        <v>138411</v>
      </c>
      <c r="J55" s="160"/>
      <c r="K55" s="160"/>
      <c r="L55" s="160"/>
      <c r="M55" s="160"/>
      <c r="N55" s="160"/>
      <c r="O55" s="160"/>
      <c r="P55" s="160"/>
      <c r="Q55" s="160"/>
      <c r="R55" s="16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60"/>
      <c r="AU55" s="120"/>
      <c r="AV55" s="120"/>
      <c r="AW55" s="120"/>
      <c r="AX55" s="120"/>
      <c r="AY55" s="120"/>
      <c r="AZ55" s="120"/>
      <c r="BA55" s="120"/>
      <c r="BB55" s="120"/>
    </row>
    <row r="56" spans="1:54" ht="12.75">
      <c r="A56" s="144"/>
      <c r="B56" s="149"/>
      <c r="C56" s="210"/>
      <c r="D56" s="230"/>
      <c r="E56" s="230"/>
      <c r="F56" s="155"/>
      <c r="G56" s="253"/>
      <c r="H56" s="96"/>
      <c r="I56" s="155"/>
      <c r="J56" s="160"/>
      <c r="K56" s="160"/>
      <c r="L56" s="160"/>
      <c r="M56" s="160"/>
      <c r="N56" s="160"/>
      <c r="O56" s="160"/>
      <c r="P56" s="160"/>
      <c r="Q56" s="160"/>
      <c r="R56" s="24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60"/>
      <c r="AU56" s="120"/>
      <c r="AV56" s="120"/>
      <c r="AW56" s="120"/>
      <c r="AX56" s="120"/>
      <c r="AY56" s="120"/>
      <c r="AZ56" s="120"/>
      <c r="BA56" s="120"/>
      <c r="BB56" s="120"/>
    </row>
    <row r="57" spans="1:54" ht="12.75">
      <c r="A57" s="173" t="s">
        <v>252</v>
      </c>
      <c r="B57" s="143" t="s">
        <v>218</v>
      </c>
      <c r="C57" s="152"/>
      <c r="D57" s="211"/>
      <c r="E57" s="211"/>
      <c r="F57" s="155"/>
      <c r="G57" s="212"/>
      <c r="H57" s="96"/>
      <c r="I57" s="155"/>
      <c r="J57" s="160"/>
      <c r="K57" s="120"/>
      <c r="L57" s="120"/>
      <c r="M57" s="120"/>
      <c r="N57" s="120"/>
      <c r="O57" s="120"/>
      <c r="P57" s="120"/>
      <c r="Q57" s="120"/>
      <c r="R57" s="241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60"/>
      <c r="AU57" s="120"/>
      <c r="AV57" s="120"/>
      <c r="AW57" s="120"/>
      <c r="AX57" s="120"/>
      <c r="AY57" s="120"/>
      <c r="AZ57" s="120"/>
      <c r="BA57" s="120"/>
      <c r="BB57" s="271"/>
    </row>
    <row r="58" spans="1:54" ht="12.75">
      <c r="A58" s="307"/>
      <c r="B58" s="173" t="s">
        <v>217</v>
      </c>
      <c r="C58" s="305">
        <v>611127492</v>
      </c>
      <c r="D58" s="302">
        <v>19878.5688</v>
      </c>
      <c r="E58" s="302">
        <v>20036.7116</v>
      </c>
      <c r="F58" s="155">
        <v>20</v>
      </c>
      <c r="G58" s="252">
        <f>E58-D58</f>
        <v>158.1427999999978</v>
      </c>
      <c r="H58" s="155"/>
      <c r="I58" s="155">
        <f>ROUND(F58*G58+H58,0)</f>
        <v>3163</v>
      </c>
      <c r="J58" s="16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60"/>
      <c r="AU58" s="120"/>
      <c r="AV58" s="120" t="s">
        <v>144</v>
      </c>
      <c r="AW58" s="120"/>
      <c r="AX58" s="120"/>
      <c r="AY58" s="120"/>
      <c r="AZ58" s="120"/>
      <c r="BA58" s="120"/>
      <c r="BB58" s="272">
        <f>BA9</f>
        <v>2.8467179009558157</v>
      </c>
    </row>
    <row r="59" spans="1:54" ht="12.75">
      <c r="A59" s="145" t="s">
        <v>253</v>
      </c>
      <c r="B59" s="143" t="s">
        <v>485</v>
      </c>
      <c r="C59" s="309"/>
      <c r="D59" s="211"/>
      <c r="E59" s="211"/>
      <c r="F59" s="155"/>
      <c r="G59" s="212"/>
      <c r="H59" s="96"/>
      <c r="I59" s="155"/>
      <c r="J59" s="160"/>
      <c r="K59" s="160"/>
      <c r="L59" s="160"/>
      <c r="M59" s="160"/>
      <c r="N59" s="160"/>
      <c r="O59" s="160"/>
      <c r="P59" s="160"/>
      <c r="Q59" s="160"/>
      <c r="R59" s="16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60"/>
      <c r="AU59" s="120"/>
      <c r="AV59" s="120"/>
      <c r="AW59" s="120"/>
      <c r="AX59" s="120"/>
      <c r="AY59" s="120"/>
      <c r="AZ59" s="120"/>
      <c r="BA59" s="120"/>
      <c r="BB59" s="120"/>
    </row>
    <row r="60" spans="1:54" ht="12.75">
      <c r="A60" s="308"/>
      <c r="B60" s="168" t="s">
        <v>546</v>
      </c>
      <c r="C60" s="305">
        <v>611127702</v>
      </c>
      <c r="D60" s="302">
        <v>31128.136</v>
      </c>
      <c r="E60" s="302">
        <v>31189.3272</v>
      </c>
      <c r="F60" s="155">
        <v>60</v>
      </c>
      <c r="G60" s="252">
        <f>E60-D60</f>
        <v>61.19120000000112</v>
      </c>
      <c r="H60" s="96"/>
      <c r="I60" s="155">
        <f>ROUND(F60*G60+H60,0)</f>
        <v>3671</v>
      </c>
      <c r="J60" s="160"/>
      <c r="K60" s="160"/>
      <c r="L60" s="160"/>
      <c r="M60" s="160"/>
      <c r="N60" s="160"/>
      <c r="O60" s="160"/>
      <c r="P60" s="160"/>
      <c r="Q60" s="160"/>
      <c r="R60" s="16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60"/>
      <c r="AU60" s="160"/>
      <c r="AV60" s="160"/>
      <c r="AW60" s="160"/>
      <c r="AX60" s="160"/>
      <c r="AY60" s="160"/>
      <c r="AZ60" s="160"/>
      <c r="BA60" s="160"/>
      <c r="BB60" s="160"/>
    </row>
    <row r="61" spans="1:54" ht="13.5">
      <c r="A61" s="159"/>
      <c r="B61" s="168" t="s">
        <v>547</v>
      </c>
      <c r="C61" s="305">
        <v>611127555</v>
      </c>
      <c r="D61" s="302">
        <v>7735.0508</v>
      </c>
      <c r="E61" s="302">
        <v>8270.364</v>
      </c>
      <c r="F61" s="155">
        <v>60</v>
      </c>
      <c r="G61" s="252">
        <f>E61-D61</f>
        <v>535.3131999999996</v>
      </c>
      <c r="H61" s="96"/>
      <c r="I61" s="155">
        <f>ROUND(F61*G61+H61,0)</f>
        <v>32119</v>
      </c>
      <c r="J61" s="160"/>
      <c r="K61" s="160"/>
      <c r="L61" s="160"/>
      <c r="M61" s="160"/>
      <c r="N61" s="160"/>
      <c r="O61" s="242"/>
      <c r="P61" s="243"/>
      <c r="Q61" s="160"/>
      <c r="R61" s="16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60"/>
      <c r="AU61" s="160"/>
      <c r="AV61" s="160"/>
      <c r="AW61" s="160"/>
      <c r="AX61" s="160"/>
      <c r="AY61" s="242"/>
      <c r="AZ61" s="243"/>
      <c r="BA61" s="160"/>
      <c r="BB61" s="160"/>
    </row>
    <row r="62" spans="1:54" ht="12.75">
      <c r="A62" s="145" t="s">
        <v>258</v>
      </c>
      <c r="B62" s="143" t="s">
        <v>486</v>
      </c>
      <c r="C62" s="310"/>
      <c r="D62" s="232"/>
      <c r="E62" s="232"/>
      <c r="F62" s="155"/>
      <c r="G62" s="212"/>
      <c r="H62" s="96"/>
      <c r="I62" s="155"/>
      <c r="J62" s="160"/>
      <c r="K62" s="160"/>
      <c r="L62" s="160"/>
      <c r="M62" s="160"/>
      <c r="N62" s="160"/>
      <c r="O62" s="160"/>
      <c r="P62" s="160"/>
      <c r="Q62" s="160"/>
      <c r="R62" s="16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60"/>
      <c r="AU62" s="160"/>
      <c r="AV62" s="160"/>
      <c r="AW62" s="160"/>
      <c r="AX62" s="160"/>
      <c r="AY62" s="160"/>
      <c r="AZ62" s="160"/>
      <c r="BA62" s="160"/>
      <c r="BB62" s="160"/>
    </row>
    <row r="63" spans="1:54" ht="12.75">
      <c r="A63" s="308"/>
      <c r="B63" s="173"/>
      <c r="C63" s="305">
        <v>1110171163</v>
      </c>
      <c r="D63" s="302">
        <v>732.7688</v>
      </c>
      <c r="E63" s="302">
        <v>836.232</v>
      </c>
      <c r="F63" s="155">
        <v>60</v>
      </c>
      <c r="G63" s="252">
        <f>E63-D63</f>
        <v>103.46319999999992</v>
      </c>
      <c r="H63" s="96"/>
      <c r="I63" s="155">
        <f>ROUND(F63*G63+H63,0)</f>
        <v>6208</v>
      </c>
      <c r="J63" s="243"/>
      <c r="K63" s="160"/>
      <c r="L63" s="160"/>
      <c r="M63" s="160"/>
      <c r="N63" s="160"/>
      <c r="O63" s="160"/>
      <c r="P63" s="189"/>
      <c r="Q63" s="160"/>
      <c r="R63" s="244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243"/>
      <c r="AU63" s="160"/>
      <c r="AV63" s="160"/>
      <c r="AW63" s="160"/>
      <c r="AX63" s="160"/>
      <c r="AY63" s="160"/>
      <c r="AZ63" s="189"/>
      <c r="BA63" s="160"/>
      <c r="BB63" s="244"/>
    </row>
    <row r="64" spans="1:54" ht="12.75">
      <c r="A64" s="159"/>
      <c r="B64" s="173"/>
      <c r="C64" s="305"/>
      <c r="D64" s="302"/>
      <c r="E64" s="302"/>
      <c r="F64" s="155"/>
      <c r="G64" s="252"/>
      <c r="H64" s="96"/>
      <c r="I64" s="155"/>
      <c r="J64" s="243"/>
      <c r="K64" s="160"/>
      <c r="L64" s="160"/>
      <c r="M64" s="160"/>
      <c r="N64" s="160"/>
      <c r="O64" s="160"/>
      <c r="P64" s="189"/>
      <c r="Q64" s="160"/>
      <c r="R64" s="244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243"/>
      <c r="AU64" s="160"/>
      <c r="AV64" s="160"/>
      <c r="AW64" s="160"/>
      <c r="AX64" s="160"/>
      <c r="AY64" s="160"/>
      <c r="AZ64" s="189"/>
      <c r="BA64" s="160"/>
      <c r="BB64" s="244"/>
    </row>
    <row r="65" spans="1:54" ht="12.75">
      <c r="A65" s="145" t="s">
        <v>260</v>
      </c>
      <c r="B65" s="143" t="s">
        <v>487</v>
      </c>
      <c r="C65" s="311"/>
      <c r="D65" s="232"/>
      <c r="E65" s="232"/>
      <c r="F65" s="155"/>
      <c r="G65" s="212"/>
      <c r="H65" s="96"/>
      <c r="I65" s="155"/>
      <c r="J65" s="243"/>
      <c r="K65" s="160"/>
      <c r="L65" s="160"/>
      <c r="M65" s="160"/>
      <c r="N65" s="160"/>
      <c r="O65" s="160"/>
      <c r="P65" s="189"/>
      <c r="Q65" s="160"/>
      <c r="R65" s="244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243"/>
      <c r="AU65" s="160"/>
      <c r="AV65" s="160"/>
      <c r="AW65" s="160"/>
      <c r="AX65" s="160"/>
      <c r="AY65" s="160"/>
      <c r="AZ65" s="189"/>
      <c r="BA65" s="160"/>
      <c r="BB65" s="244"/>
    </row>
    <row r="66" spans="1:54" ht="12.75">
      <c r="A66" s="159"/>
      <c r="B66" s="173"/>
      <c r="C66" s="305">
        <v>1110171170</v>
      </c>
      <c r="D66" s="302">
        <v>135.4436</v>
      </c>
      <c r="E66" s="302">
        <v>144.9604</v>
      </c>
      <c r="F66" s="155">
        <v>40</v>
      </c>
      <c r="G66" s="252">
        <f>E66-D66</f>
        <v>9.51679999999999</v>
      </c>
      <c r="H66" s="155"/>
      <c r="I66" s="155">
        <f>ROUND(F66*G66+H66,0)</f>
        <v>381</v>
      </c>
      <c r="J66" s="243"/>
      <c r="K66" s="160"/>
      <c r="L66" s="160"/>
      <c r="M66" s="160"/>
      <c r="N66" s="160"/>
      <c r="O66" s="160"/>
      <c r="P66" s="189"/>
      <c r="Q66" s="160"/>
      <c r="R66" s="244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243"/>
      <c r="AU66" s="160"/>
      <c r="AV66" s="160"/>
      <c r="AW66" s="160"/>
      <c r="AX66" s="160"/>
      <c r="AY66" s="160"/>
      <c r="AZ66" s="189"/>
      <c r="BA66" s="160"/>
      <c r="BB66" s="244"/>
    </row>
    <row r="67" spans="1:54" ht="12.75">
      <c r="A67" s="159"/>
      <c r="B67" s="173"/>
      <c r="C67" s="305"/>
      <c r="D67" s="302"/>
      <c r="E67" s="302"/>
      <c r="F67" s="155"/>
      <c r="G67" s="252"/>
      <c r="H67" s="155"/>
      <c r="I67" s="155"/>
      <c r="J67" s="16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60"/>
      <c r="AU67" s="160"/>
      <c r="AV67" s="160"/>
      <c r="AW67" s="160"/>
      <c r="AX67" s="160"/>
      <c r="AY67" s="160"/>
      <c r="AZ67" s="160"/>
      <c r="BA67" s="160"/>
      <c r="BB67" s="160"/>
    </row>
    <row r="68" spans="1:54" ht="12.75">
      <c r="A68" s="145" t="s">
        <v>261</v>
      </c>
      <c r="B68" s="143" t="s">
        <v>550</v>
      </c>
      <c r="C68" s="305">
        <v>611126342</v>
      </c>
      <c r="D68" s="302">
        <v>25782.5391</v>
      </c>
      <c r="E68" s="302">
        <v>25782.5391</v>
      </c>
      <c r="F68" s="155">
        <v>1800</v>
      </c>
      <c r="G68" s="252">
        <f>E68-D68</f>
        <v>0</v>
      </c>
      <c r="H68" s="155"/>
      <c r="I68" s="155">
        <f>ROUND(F68*G68+H68,0)</f>
        <v>0</v>
      </c>
      <c r="J68" s="160"/>
      <c r="K68" s="160"/>
      <c r="L68" s="160"/>
      <c r="M68" s="160"/>
      <c r="N68" s="160"/>
      <c r="O68" s="160"/>
      <c r="P68" s="160"/>
      <c r="Q68" s="160"/>
      <c r="R68" s="16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60"/>
      <c r="AU68" s="160"/>
      <c r="AV68" s="160"/>
      <c r="AW68" s="160"/>
      <c r="AX68" s="160"/>
      <c r="AY68" s="160"/>
      <c r="AZ68" s="160"/>
      <c r="BA68" s="160"/>
      <c r="BB68" s="160"/>
    </row>
    <row r="69" spans="1:54" ht="13.5">
      <c r="A69" s="159"/>
      <c r="B69" s="173" t="s">
        <v>551</v>
      </c>
      <c r="C69" s="305">
        <v>611126404</v>
      </c>
      <c r="D69" s="302">
        <v>549.6431</v>
      </c>
      <c r="E69" s="302">
        <v>557.8863</v>
      </c>
      <c r="F69" s="155">
        <v>1800</v>
      </c>
      <c r="G69" s="252">
        <f>E69-D69</f>
        <v>8.243200000000002</v>
      </c>
      <c r="H69" s="155"/>
      <c r="I69" s="155">
        <f>ROUND((F69*G69+H69),0)</f>
        <v>14838</v>
      </c>
      <c r="J69" s="160"/>
      <c r="K69" s="160"/>
      <c r="L69" s="160"/>
      <c r="M69" s="160"/>
      <c r="N69" s="160"/>
      <c r="O69" s="242"/>
      <c r="P69" s="243"/>
      <c r="Q69" s="160"/>
      <c r="R69" s="16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60"/>
      <c r="AU69" s="160"/>
      <c r="AV69" s="160"/>
      <c r="AW69" s="160"/>
      <c r="AX69" s="160"/>
      <c r="AY69" s="242"/>
      <c r="AZ69" s="243"/>
      <c r="BA69" s="160"/>
      <c r="BB69" s="160"/>
    </row>
    <row r="70" spans="1:54" ht="12.75">
      <c r="A70" s="103"/>
      <c r="B70" s="144" t="s">
        <v>509</v>
      </c>
      <c r="C70" s="305">
        <v>611126334</v>
      </c>
      <c r="D70" s="302">
        <v>2.3724</v>
      </c>
      <c r="E70" s="302">
        <v>2.3724</v>
      </c>
      <c r="F70" s="155">
        <v>1800</v>
      </c>
      <c r="G70" s="252">
        <f>E70-D70</f>
        <v>0</v>
      </c>
      <c r="H70" s="96"/>
      <c r="I70" s="155">
        <f>ROUND(F70*G70+H70,0)</f>
        <v>0</v>
      </c>
      <c r="J70" s="160"/>
      <c r="K70" s="160"/>
      <c r="L70" s="160"/>
      <c r="M70" s="160"/>
      <c r="N70" s="160"/>
      <c r="O70" s="160"/>
      <c r="P70" s="160"/>
      <c r="Q70" s="160"/>
      <c r="R70" s="16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60"/>
      <c r="AU70" s="160"/>
      <c r="AV70" s="160"/>
      <c r="AW70" s="160"/>
      <c r="AX70" s="160"/>
      <c r="AY70" s="160"/>
      <c r="AZ70" s="160"/>
      <c r="BA70" s="160"/>
      <c r="BB70" s="160"/>
    </row>
    <row r="71" spans="1:54" ht="12.75">
      <c r="A71" s="159" t="s">
        <v>477</v>
      </c>
      <c r="B71" s="173" t="s">
        <v>488</v>
      </c>
      <c r="C71" s="305">
        <v>611127724</v>
      </c>
      <c r="D71" s="302">
        <v>1824.8652</v>
      </c>
      <c r="E71" s="302">
        <v>1842.3352</v>
      </c>
      <c r="F71" s="155">
        <v>30</v>
      </c>
      <c r="G71" s="252">
        <f>E71-D71</f>
        <v>17.470000000000027</v>
      </c>
      <c r="H71" s="155"/>
      <c r="I71" s="155">
        <f>ROUND(F71*G71+H71,0)</f>
        <v>524</v>
      </c>
      <c r="J71" s="243"/>
      <c r="K71" s="160"/>
      <c r="L71" s="160"/>
      <c r="M71" s="160"/>
      <c r="N71" s="160"/>
      <c r="O71" s="160"/>
      <c r="P71" s="189"/>
      <c r="Q71" s="160"/>
      <c r="R71" s="244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243"/>
      <c r="AU71" s="160"/>
      <c r="AV71" s="160"/>
      <c r="AW71" s="160"/>
      <c r="AX71" s="160"/>
      <c r="AY71" s="160"/>
      <c r="AZ71" s="189"/>
      <c r="BA71" s="160"/>
      <c r="BB71" s="244"/>
    </row>
    <row r="72" spans="1:54" ht="12.75">
      <c r="A72" s="103"/>
      <c r="B72" s="173" t="s">
        <v>542</v>
      </c>
      <c r="C72" s="305"/>
      <c r="D72" s="306"/>
      <c r="E72" s="306"/>
      <c r="F72" s="155"/>
      <c r="G72" s="212"/>
      <c r="H72" s="155"/>
      <c r="I72" s="155"/>
      <c r="J72" s="243"/>
      <c r="K72" s="160" t="s">
        <v>576</v>
      </c>
      <c r="L72" s="160"/>
      <c r="M72" s="160"/>
      <c r="N72" s="160"/>
      <c r="O72" s="160"/>
      <c r="P72" s="189"/>
      <c r="Q72" s="160"/>
      <c r="R72" s="244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243"/>
      <c r="AU72" s="160"/>
      <c r="AV72" s="160"/>
      <c r="AW72" s="160"/>
      <c r="AX72" s="160"/>
      <c r="AY72" s="160"/>
      <c r="AZ72" s="189"/>
      <c r="BA72" s="160"/>
      <c r="BB72" s="244"/>
    </row>
    <row r="73" spans="1:54" ht="12.75">
      <c r="A73" s="96"/>
      <c r="B73" s="312"/>
      <c r="C73" s="171"/>
      <c r="D73" s="212"/>
      <c r="E73" s="212"/>
      <c r="F73" s="155"/>
      <c r="G73" s="212"/>
      <c r="H73" s="155"/>
      <c r="I73" s="155"/>
      <c r="J73" s="243"/>
      <c r="K73" s="160" t="s">
        <v>577</v>
      </c>
      <c r="L73" s="160"/>
      <c r="M73" s="160"/>
      <c r="N73" s="160"/>
      <c r="O73" s="160"/>
      <c r="P73" s="189"/>
      <c r="Q73" s="160"/>
      <c r="R73" s="244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243"/>
      <c r="AU73" s="160"/>
      <c r="AV73" s="160"/>
      <c r="AW73" s="160"/>
      <c r="AX73" s="160"/>
      <c r="AY73" s="160"/>
      <c r="AZ73" s="189"/>
      <c r="BA73" s="160"/>
      <c r="BB73" s="244"/>
    </row>
    <row r="74" spans="1:54" ht="12.75">
      <c r="A74" s="103"/>
      <c r="B74" s="148"/>
      <c r="C74" s="150"/>
      <c r="D74" s="150"/>
      <c r="E74" s="150"/>
      <c r="F74" s="150" t="s">
        <v>264</v>
      </c>
      <c r="G74" s="150"/>
      <c r="H74" s="151"/>
      <c r="I74" s="235">
        <f>ROUND((SUM(I50:I69)-I73),0)</f>
        <v>211837</v>
      </c>
      <c r="J74" s="243"/>
      <c r="K74" s="160"/>
      <c r="L74" s="160"/>
      <c r="M74" s="160"/>
      <c r="N74" s="160"/>
      <c r="O74" s="160"/>
      <c r="P74" s="189"/>
      <c r="Q74" s="160"/>
      <c r="R74" s="244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243"/>
      <c r="AU74" s="160"/>
      <c r="AV74" s="160"/>
      <c r="AW74" s="160"/>
      <c r="AX74" s="160"/>
      <c r="AY74" s="160"/>
      <c r="AZ74" s="189"/>
      <c r="BA74" s="160"/>
      <c r="BB74" s="244"/>
    </row>
    <row r="75" spans="1:54" ht="12.75">
      <c r="A75" s="102"/>
      <c r="B75" s="150"/>
      <c r="C75" s="150"/>
      <c r="D75" s="150"/>
      <c r="E75" s="150"/>
      <c r="F75" s="150"/>
      <c r="G75" s="150" t="s">
        <v>265</v>
      </c>
      <c r="H75" s="151"/>
      <c r="I75" s="235">
        <f>ROUND((I18+I20-I47-I74),0)</f>
        <v>6117135</v>
      </c>
      <c r="J75" s="160"/>
      <c r="K75" s="160">
        <f>I18+I20+I22-I47-I74</f>
        <v>6188367</v>
      </c>
      <c r="L75" s="160"/>
      <c r="M75" s="160"/>
      <c r="N75" s="160"/>
      <c r="O75" s="160"/>
      <c r="P75" s="190"/>
      <c r="Q75" s="160"/>
      <c r="R75" s="24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60"/>
      <c r="AU75" s="160"/>
      <c r="AV75" s="160"/>
      <c r="AW75" s="160"/>
      <c r="AX75" s="160"/>
      <c r="AY75" s="160"/>
      <c r="AZ75" s="190"/>
      <c r="BA75" s="160"/>
      <c r="BB75" s="240"/>
    </row>
    <row r="76" spans="1:54" ht="12.75">
      <c r="A76" s="96" t="s">
        <v>272</v>
      </c>
      <c r="B76" s="102" t="s">
        <v>266</v>
      </c>
      <c r="C76" s="150"/>
      <c r="D76" s="150"/>
      <c r="E76" s="150"/>
      <c r="F76" s="150"/>
      <c r="G76" s="150"/>
      <c r="H76" s="150"/>
      <c r="I76" s="151"/>
      <c r="J76" s="160"/>
      <c r="K76" s="160"/>
      <c r="L76" s="160"/>
      <c r="M76" s="160"/>
      <c r="N76" s="160"/>
      <c r="O76" s="160"/>
      <c r="P76" s="190"/>
      <c r="Q76" s="160"/>
      <c r="R76" s="24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60"/>
      <c r="AU76" s="160"/>
      <c r="AV76" s="160"/>
      <c r="AW76" s="160"/>
      <c r="AX76" s="160"/>
      <c r="AY76" s="160"/>
      <c r="AZ76" s="190"/>
      <c r="BA76" s="160"/>
      <c r="BB76" s="240"/>
    </row>
    <row r="77" spans="1:54" ht="12.75">
      <c r="A77" s="143" t="s">
        <v>270</v>
      </c>
      <c r="B77" s="143" t="s">
        <v>267</v>
      </c>
      <c r="C77" s="171">
        <v>18705639</v>
      </c>
      <c r="D77" s="234">
        <v>18656</v>
      </c>
      <c r="E77" s="234">
        <v>18733</v>
      </c>
      <c r="F77" s="175">
        <v>30</v>
      </c>
      <c r="G77" s="322">
        <f>E77-D77</f>
        <v>77</v>
      </c>
      <c r="H77" s="143">
        <v>1298</v>
      </c>
      <c r="I77" s="175">
        <f>F77*G77+H77</f>
        <v>3608</v>
      </c>
      <c r="J77" s="160"/>
      <c r="K77" s="160"/>
      <c r="L77" s="160"/>
      <c r="M77" s="160"/>
      <c r="N77" s="160"/>
      <c r="O77" s="160"/>
      <c r="P77" s="190"/>
      <c r="Q77" s="160"/>
      <c r="R77" s="24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60"/>
      <c r="AU77" s="160"/>
      <c r="AV77" s="160"/>
      <c r="AW77" s="160"/>
      <c r="AX77" s="160"/>
      <c r="AY77" s="160"/>
      <c r="AZ77" s="190"/>
      <c r="BA77" s="160"/>
      <c r="BB77" s="240"/>
    </row>
    <row r="78" spans="1:54" ht="12.75">
      <c r="A78" s="144"/>
      <c r="B78" s="144" t="s">
        <v>268</v>
      </c>
      <c r="C78" s="169"/>
      <c r="D78" s="144"/>
      <c r="E78" s="144"/>
      <c r="F78" s="164"/>
      <c r="G78" s="144"/>
      <c r="H78" s="144"/>
      <c r="I78" s="144"/>
      <c r="J78" s="160"/>
      <c r="K78" s="160"/>
      <c r="L78" s="160"/>
      <c r="M78" s="160"/>
      <c r="N78" s="160"/>
      <c r="O78" s="160"/>
      <c r="P78" s="190"/>
      <c r="Q78" s="160"/>
      <c r="R78" s="24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60"/>
      <c r="AU78" s="160"/>
      <c r="AV78" s="160"/>
      <c r="AW78" s="160"/>
      <c r="AX78" s="160"/>
      <c r="AY78" s="160"/>
      <c r="AZ78" s="190"/>
      <c r="BA78" s="160"/>
      <c r="BB78" s="240"/>
    </row>
    <row r="79" spans="1:54" ht="12.75">
      <c r="A79" s="143" t="s">
        <v>271</v>
      </c>
      <c r="B79" s="143" t="s">
        <v>269</v>
      </c>
      <c r="C79" s="171">
        <v>18705843</v>
      </c>
      <c r="D79" s="234">
        <v>1070.8</v>
      </c>
      <c r="E79" s="234">
        <v>1070.8</v>
      </c>
      <c r="F79" s="175">
        <v>30</v>
      </c>
      <c r="G79" s="233">
        <f>E79-D79</f>
        <v>0</v>
      </c>
      <c r="H79" s="143">
        <v>0</v>
      </c>
      <c r="I79" s="175">
        <f>F79*G79+H79</f>
        <v>0</v>
      </c>
      <c r="J79" s="160"/>
      <c r="K79" s="160"/>
      <c r="L79" s="160"/>
      <c r="M79" s="160"/>
      <c r="N79" s="160"/>
      <c r="O79" s="160"/>
      <c r="P79" s="190"/>
      <c r="Q79" s="160"/>
      <c r="R79" s="24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60"/>
      <c r="AU79" s="160"/>
      <c r="AV79" s="160"/>
      <c r="AW79" s="160"/>
      <c r="AX79" s="160"/>
      <c r="AY79" s="160"/>
      <c r="AZ79" s="190"/>
      <c r="BA79" s="160"/>
      <c r="BB79" s="240"/>
    </row>
    <row r="80" spans="1:54" ht="12.75">
      <c r="A80" s="144"/>
      <c r="B80" s="144" t="s">
        <v>268</v>
      </c>
      <c r="C80" s="169"/>
      <c r="D80" s="144"/>
      <c r="E80" s="144"/>
      <c r="F80" s="164"/>
      <c r="G80" s="144"/>
      <c r="H80" s="144"/>
      <c r="I80" s="144"/>
      <c r="J80" s="160"/>
      <c r="K80" s="160"/>
      <c r="L80" s="160"/>
      <c r="M80" s="160"/>
      <c r="N80" s="160"/>
      <c r="O80" s="160"/>
      <c r="P80" s="190"/>
      <c r="Q80" s="160"/>
      <c r="R80" s="24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60"/>
      <c r="AU80" s="160"/>
      <c r="AV80" s="160"/>
      <c r="AW80" s="160"/>
      <c r="AX80" s="160"/>
      <c r="AY80" s="160"/>
      <c r="AZ80" s="190"/>
      <c r="BA80" s="160"/>
      <c r="BB80" s="240"/>
    </row>
    <row r="81" spans="1:54" ht="12.75">
      <c r="A81" s="102"/>
      <c r="B81" s="150"/>
      <c r="C81" s="217"/>
      <c r="D81" s="199"/>
      <c r="E81" s="218"/>
      <c r="F81" s="218" t="s">
        <v>273</v>
      </c>
      <c r="G81" s="219"/>
      <c r="H81" s="151"/>
      <c r="I81" s="155">
        <f>I77+I79</f>
        <v>3608</v>
      </c>
      <c r="J81" s="243"/>
      <c r="K81" s="160"/>
      <c r="L81" s="160"/>
      <c r="M81" s="160"/>
      <c r="N81" s="160"/>
      <c r="O81" s="160"/>
      <c r="P81" s="189"/>
      <c r="Q81" s="160"/>
      <c r="R81" s="244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243"/>
      <c r="AU81" s="160"/>
      <c r="AV81" s="160"/>
      <c r="AW81" s="160"/>
      <c r="AX81" s="160"/>
      <c r="AY81" s="160"/>
      <c r="AZ81" s="189"/>
      <c r="BA81" s="160"/>
      <c r="BB81" s="244"/>
    </row>
    <row r="82" spans="1:54" ht="12.75">
      <c r="A82" s="102"/>
      <c r="B82" s="150"/>
      <c r="C82" s="217"/>
      <c r="D82" s="199"/>
      <c r="E82" s="218"/>
      <c r="F82" s="218"/>
      <c r="G82" s="219" t="s">
        <v>274</v>
      </c>
      <c r="H82" s="151"/>
      <c r="I82" s="235">
        <f>I75+I81</f>
        <v>6120743</v>
      </c>
      <c r="J82" s="160"/>
      <c r="K82" s="160"/>
      <c r="L82" s="160"/>
      <c r="M82" s="160"/>
      <c r="N82" s="160"/>
      <c r="O82" s="160"/>
      <c r="P82" s="190"/>
      <c r="Q82" s="160"/>
      <c r="R82" s="24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60"/>
      <c r="AU82" s="160"/>
      <c r="AV82" s="160"/>
      <c r="AW82" s="160"/>
      <c r="AX82" s="160"/>
      <c r="AY82" s="160"/>
      <c r="AZ82" s="190"/>
      <c r="BA82" s="160"/>
      <c r="BB82" s="240"/>
    </row>
    <row r="83" spans="1:54" ht="12.75">
      <c r="A83" s="145" t="s">
        <v>275</v>
      </c>
      <c r="B83" s="146"/>
      <c r="C83" s="220"/>
      <c r="D83" s="202"/>
      <c r="E83" s="221"/>
      <c r="F83" s="221"/>
      <c r="G83" s="204"/>
      <c r="H83" s="146"/>
      <c r="I83" s="205"/>
      <c r="J83" s="160"/>
      <c r="K83" s="160"/>
      <c r="L83" s="160"/>
      <c r="M83" s="160"/>
      <c r="N83" s="160"/>
      <c r="O83" s="160"/>
      <c r="P83" s="190"/>
      <c r="Q83" s="160"/>
      <c r="R83" s="24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60"/>
      <c r="AU83" s="160"/>
      <c r="AV83" s="160"/>
      <c r="AW83" s="160"/>
      <c r="AX83" s="160"/>
      <c r="AY83" s="160"/>
      <c r="AZ83" s="190"/>
      <c r="BA83" s="160"/>
      <c r="BB83" s="240"/>
    </row>
    <row r="84" spans="1:54" ht="12.75">
      <c r="A84" s="222" t="s">
        <v>538</v>
      </c>
      <c r="B84" s="223"/>
      <c r="C84" s="223"/>
      <c r="D84" s="191"/>
      <c r="E84" s="148"/>
      <c r="F84" s="148"/>
      <c r="G84" s="148"/>
      <c r="H84" s="148"/>
      <c r="I84" s="209"/>
      <c r="J84" s="160"/>
      <c r="K84" s="160"/>
      <c r="L84" s="160"/>
      <c r="M84" s="160"/>
      <c r="N84" s="160"/>
      <c r="O84" s="160"/>
      <c r="P84" s="190"/>
      <c r="Q84" s="160"/>
      <c r="R84" s="24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60"/>
      <c r="AU84" s="160"/>
      <c r="AV84" s="160"/>
      <c r="AW84" s="160"/>
      <c r="AX84" s="160"/>
      <c r="AY84" s="160"/>
      <c r="AZ84" s="190"/>
      <c r="BA84" s="160"/>
      <c r="BB84" s="240"/>
    </row>
    <row r="85" spans="1:54" ht="12.75">
      <c r="A85" s="160" t="s">
        <v>279</v>
      </c>
      <c r="B85" s="160"/>
      <c r="C85" s="264"/>
      <c r="D85" s="181"/>
      <c r="E85" s="265"/>
      <c r="F85" s="265"/>
      <c r="G85" s="188"/>
      <c r="H85" s="160"/>
      <c r="I85" s="190"/>
      <c r="J85" s="160"/>
      <c r="K85" s="160"/>
      <c r="L85" s="160"/>
      <c r="M85" s="160"/>
      <c r="N85" s="160"/>
      <c r="O85" s="160"/>
      <c r="P85" s="190"/>
      <c r="Q85" s="160"/>
      <c r="R85" s="24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60"/>
      <c r="AU85" s="160"/>
      <c r="AV85" s="160"/>
      <c r="AW85" s="160"/>
      <c r="AX85" s="160"/>
      <c r="AY85" s="160"/>
      <c r="AZ85" s="190"/>
      <c r="BA85" s="160"/>
      <c r="BB85" s="240"/>
    </row>
    <row r="86" spans="1:54" ht="12.75">
      <c r="A86" s="160"/>
      <c r="B86" s="160"/>
      <c r="C86" s="181"/>
      <c r="D86" s="313" t="s">
        <v>280</v>
      </c>
      <c r="E86" s="313"/>
      <c r="F86" s="314"/>
      <c r="G86" s="243"/>
      <c r="H86" s="243"/>
      <c r="I86" s="189"/>
      <c r="J86" s="160"/>
      <c r="K86" s="160"/>
      <c r="L86" s="188"/>
      <c r="M86" s="188"/>
      <c r="N86" s="160"/>
      <c r="O86" s="160"/>
      <c r="P86" s="190"/>
      <c r="Q86" s="160"/>
      <c r="R86" s="24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60"/>
      <c r="AU86" s="160"/>
      <c r="AV86" s="188"/>
      <c r="AW86" s="188"/>
      <c r="AX86" s="160"/>
      <c r="AY86" s="160"/>
      <c r="AZ86" s="190"/>
      <c r="BA86" s="160"/>
      <c r="BB86" s="240"/>
    </row>
    <row r="87" spans="1:54" ht="12.75">
      <c r="A87" s="160"/>
      <c r="B87" s="160"/>
      <c r="C87" s="181"/>
      <c r="D87" s="313" t="s">
        <v>531</v>
      </c>
      <c r="E87" s="313"/>
      <c r="F87" s="314"/>
      <c r="G87" s="243"/>
      <c r="H87" s="243"/>
      <c r="I87" s="189"/>
      <c r="J87" s="243"/>
      <c r="K87" s="160"/>
      <c r="L87" s="160"/>
      <c r="M87" s="160"/>
      <c r="N87" s="160"/>
      <c r="O87" s="160"/>
      <c r="P87" s="189"/>
      <c r="Q87" s="160"/>
      <c r="R87" s="244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243"/>
      <c r="AU87" s="160"/>
      <c r="AV87" s="160"/>
      <c r="AW87" s="160"/>
      <c r="AX87" s="160"/>
      <c r="AY87" s="160"/>
      <c r="AZ87" s="189"/>
      <c r="BA87" s="160"/>
      <c r="BB87" s="244"/>
    </row>
    <row r="88" spans="1:54" ht="12.75">
      <c r="A88" s="160"/>
      <c r="B88" s="160"/>
      <c r="C88" s="264"/>
      <c r="D88" s="313" t="s">
        <v>539</v>
      </c>
      <c r="E88" s="313"/>
      <c r="F88" s="314"/>
      <c r="G88" s="243"/>
      <c r="H88" s="243"/>
      <c r="I88" s="189"/>
      <c r="J88" s="160"/>
      <c r="K88" s="160"/>
      <c r="L88" s="160"/>
      <c r="M88" s="160"/>
      <c r="N88" s="160"/>
      <c r="O88" s="160"/>
      <c r="P88" s="190"/>
      <c r="Q88" s="160"/>
      <c r="R88" s="24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60"/>
      <c r="AU88" s="160"/>
      <c r="AV88" s="160"/>
      <c r="AW88" s="160"/>
      <c r="AX88" s="160"/>
      <c r="AY88" s="160"/>
      <c r="AZ88" s="190"/>
      <c r="BA88" s="160"/>
      <c r="BB88" s="240"/>
    </row>
    <row r="89" spans="1:54" ht="12.75">
      <c r="A89" s="120"/>
      <c r="B89" s="120"/>
      <c r="C89" s="120"/>
      <c r="D89" s="120" t="s">
        <v>192</v>
      </c>
      <c r="E89" s="120"/>
      <c r="F89" s="120"/>
      <c r="G89" s="120"/>
      <c r="H89" s="120"/>
      <c r="I89" s="120"/>
      <c r="J89" s="160"/>
      <c r="K89" s="160"/>
      <c r="L89" s="160"/>
      <c r="M89" s="160"/>
      <c r="N89" s="160"/>
      <c r="O89" s="160"/>
      <c r="P89" s="190"/>
      <c r="Q89" s="160"/>
      <c r="R89" s="24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60" t="s">
        <v>530</v>
      </c>
      <c r="AU89" s="120"/>
      <c r="AV89" s="120"/>
      <c r="AW89" s="120"/>
      <c r="AX89" s="120"/>
      <c r="AY89" s="120"/>
      <c r="AZ89" s="120"/>
      <c r="BA89" s="120"/>
      <c r="BB89" s="120"/>
    </row>
    <row r="90" spans="1:54" ht="12.75">
      <c r="A90" s="120"/>
      <c r="B90" s="120"/>
      <c r="C90" s="120"/>
      <c r="D90" s="120" t="s">
        <v>193</v>
      </c>
      <c r="E90" s="120"/>
      <c r="F90" s="120"/>
      <c r="G90" s="120"/>
      <c r="H90" s="120"/>
      <c r="I90" s="120"/>
      <c r="J90" s="243"/>
      <c r="K90" s="160"/>
      <c r="L90" s="160"/>
      <c r="M90" s="160"/>
      <c r="N90" s="160"/>
      <c r="O90" s="160"/>
      <c r="P90" s="189"/>
      <c r="Q90" s="160"/>
      <c r="R90" s="244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60" t="s">
        <v>535</v>
      </c>
      <c r="AU90" s="120"/>
      <c r="AV90" s="120"/>
      <c r="AW90" s="120"/>
      <c r="AX90" s="120"/>
      <c r="AY90" s="120"/>
      <c r="AZ90" s="120"/>
      <c r="BA90" s="120"/>
      <c r="BB90" s="120"/>
    </row>
    <row r="91" spans="1:54" ht="13.5">
      <c r="A91" s="120"/>
      <c r="B91" s="120"/>
      <c r="C91" s="120"/>
      <c r="D91" s="120"/>
      <c r="E91" s="120"/>
      <c r="F91" s="120"/>
      <c r="G91" s="120"/>
      <c r="H91" s="120"/>
      <c r="I91" s="120"/>
      <c r="J91" s="243"/>
      <c r="K91" s="160"/>
      <c r="L91" s="160"/>
      <c r="M91" s="160"/>
      <c r="N91" s="160"/>
      <c r="O91" s="160"/>
      <c r="P91" s="189"/>
      <c r="Q91" s="160"/>
      <c r="R91" s="244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60"/>
      <c r="AU91" s="120" t="s">
        <v>4</v>
      </c>
      <c r="AV91" s="120"/>
      <c r="AW91" s="120"/>
      <c r="AX91" s="120"/>
      <c r="AY91" s="254" t="s">
        <v>387</v>
      </c>
      <c r="AZ91" s="196" t="s">
        <v>557</v>
      </c>
      <c r="BA91" s="120"/>
      <c r="BB91" s="120"/>
    </row>
    <row r="92" spans="1:54" ht="12.75">
      <c r="A92" s="120"/>
      <c r="B92" s="120"/>
      <c r="C92" s="120" t="s">
        <v>194</v>
      </c>
      <c r="D92" s="120"/>
      <c r="E92" s="120"/>
      <c r="F92" s="120"/>
      <c r="G92" s="120"/>
      <c r="H92" s="120"/>
      <c r="I92" s="120"/>
      <c r="J92" s="243"/>
      <c r="K92" s="160"/>
      <c r="L92" s="160"/>
      <c r="M92" s="160"/>
      <c r="N92" s="160"/>
      <c r="O92" s="160"/>
      <c r="P92" s="189"/>
      <c r="Q92" s="160"/>
      <c r="R92" s="244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50" t="s">
        <v>108</v>
      </c>
      <c r="AU92" s="150"/>
      <c r="AV92" s="150"/>
      <c r="AW92" s="150"/>
      <c r="AX92" s="150"/>
      <c r="AY92" s="151"/>
      <c r="AZ92" s="96" t="s">
        <v>175</v>
      </c>
      <c r="BA92" s="96"/>
      <c r="BB92" s="96" t="s">
        <v>109</v>
      </c>
    </row>
    <row r="93" spans="1:54" ht="12.75">
      <c r="A93" s="120"/>
      <c r="B93" s="120"/>
      <c r="C93" s="120"/>
      <c r="D93" s="277" t="s">
        <v>572</v>
      </c>
      <c r="E93" s="277"/>
      <c r="F93" s="120"/>
      <c r="G93" s="120"/>
      <c r="H93" s="120"/>
      <c r="I93" s="120"/>
      <c r="J93" s="243"/>
      <c r="K93" s="160"/>
      <c r="L93" s="160"/>
      <c r="M93" s="160"/>
      <c r="N93" s="160"/>
      <c r="O93" s="160"/>
      <c r="P93" s="189"/>
      <c r="Q93" s="160"/>
      <c r="R93" s="244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273" t="s">
        <v>301</v>
      </c>
      <c r="AU93" s="150"/>
      <c r="AV93" s="150"/>
      <c r="AW93" s="150"/>
      <c r="AX93" s="150"/>
      <c r="AY93" s="151"/>
      <c r="AZ93" s="235">
        <v>49847</v>
      </c>
      <c r="BA93" s="199"/>
      <c r="BB93" s="299">
        <f>AZ93*BB58</f>
        <v>141900.34720894456</v>
      </c>
    </row>
    <row r="94" spans="1:54" ht="12.75">
      <c r="A94" s="120" t="s">
        <v>528</v>
      </c>
      <c r="B94" s="120"/>
      <c r="C94" s="120"/>
      <c r="D94" s="120"/>
      <c r="E94" s="120"/>
      <c r="F94" s="120"/>
      <c r="G94" s="120"/>
      <c r="H94" s="120"/>
      <c r="I94" s="120"/>
      <c r="J94" s="243"/>
      <c r="K94" s="160"/>
      <c r="L94" s="160"/>
      <c r="M94" s="160"/>
      <c r="N94" s="160"/>
      <c r="O94" s="160"/>
      <c r="P94" s="189"/>
      <c r="Q94" s="160"/>
      <c r="R94" s="244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273" t="s">
        <v>300</v>
      </c>
      <c r="AU94" s="150"/>
      <c r="AV94" s="150"/>
      <c r="AW94" s="150"/>
      <c r="AX94" s="150"/>
      <c r="AY94" s="151"/>
      <c r="AZ94" s="235">
        <f>AZ131-SUM(AZ112:AZ120)-AZ109-AZ103-AZ96-AZ95-AZ93</f>
        <v>5011956</v>
      </c>
      <c r="BA94" s="199"/>
      <c r="BB94" s="299">
        <f>AZ94*BB58</f>
        <v>14267624.864002906</v>
      </c>
    </row>
    <row r="95" spans="1:54" ht="12.75">
      <c r="A95" s="120" t="s">
        <v>196</v>
      </c>
      <c r="B95" s="120"/>
      <c r="C95" s="120"/>
      <c r="D95" s="120"/>
      <c r="E95" s="120"/>
      <c r="F95" s="120"/>
      <c r="G95" s="120"/>
      <c r="H95" s="120"/>
      <c r="I95" s="120"/>
      <c r="J95" s="243"/>
      <c r="K95" s="243"/>
      <c r="L95" s="160"/>
      <c r="M95" s="160"/>
      <c r="N95" s="160"/>
      <c r="O95" s="160"/>
      <c r="P95" s="189"/>
      <c r="Q95" s="160"/>
      <c r="R95" s="244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273" t="s">
        <v>537</v>
      </c>
      <c r="AU95" s="150"/>
      <c r="AV95" s="150"/>
      <c r="AW95" s="150"/>
      <c r="AX95" s="150"/>
      <c r="AY95" s="151"/>
      <c r="AZ95" s="235">
        <v>140414</v>
      </c>
      <c r="BA95" s="199"/>
      <c r="BB95" s="299">
        <f>AZ95*BB58</f>
        <v>399719.0473448099</v>
      </c>
    </row>
    <row r="96" spans="1:54" ht="12.75">
      <c r="A96" s="120" t="s">
        <v>198</v>
      </c>
      <c r="B96" s="120"/>
      <c r="C96" s="120"/>
      <c r="D96" s="120"/>
      <c r="E96" s="120"/>
      <c r="F96" s="120" t="s">
        <v>197</v>
      </c>
      <c r="G96" s="120"/>
      <c r="H96" s="120"/>
      <c r="I96" s="120"/>
      <c r="J96" s="243"/>
      <c r="K96" s="243"/>
      <c r="L96" s="160"/>
      <c r="M96" s="160"/>
      <c r="N96" s="160"/>
      <c r="O96" s="160"/>
      <c r="P96" s="189"/>
      <c r="Q96" s="160"/>
      <c r="R96" s="244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255" t="s">
        <v>85</v>
      </c>
      <c r="AU96" s="146"/>
      <c r="AV96" s="146"/>
      <c r="AW96" s="146"/>
      <c r="AX96" s="146"/>
      <c r="AY96" s="147"/>
      <c r="AZ96" s="300">
        <f>SUM(AZ97:AZ102)</f>
        <v>765250</v>
      </c>
      <c r="BA96" s="202"/>
      <c r="BB96" s="299">
        <f>AZ96*BB58</f>
        <v>2178450.873706438</v>
      </c>
    </row>
    <row r="97" spans="1:54" ht="12.75">
      <c r="A97" s="143" t="s">
        <v>335</v>
      </c>
      <c r="B97" s="171" t="s">
        <v>199</v>
      </c>
      <c r="C97" s="143" t="s">
        <v>200</v>
      </c>
      <c r="D97" s="224" t="s">
        <v>286</v>
      </c>
      <c r="E97" s="225"/>
      <c r="F97" s="143" t="s">
        <v>201</v>
      </c>
      <c r="G97" s="143" t="s">
        <v>404</v>
      </c>
      <c r="H97" s="143" t="s">
        <v>202</v>
      </c>
      <c r="I97" s="143" t="s">
        <v>191</v>
      </c>
      <c r="J97" s="243"/>
      <c r="K97" s="243"/>
      <c r="L97" s="160"/>
      <c r="M97" s="160"/>
      <c r="N97" s="160"/>
      <c r="O97" s="160"/>
      <c r="P97" s="189"/>
      <c r="Q97" s="160"/>
      <c r="R97" s="244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59" t="s">
        <v>87</v>
      </c>
      <c r="AU97" s="160"/>
      <c r="AV97" s="160"/>
      <c r="AW97" s="160"/>
      <c r="AX97" s="160"/>
      <c r="AY97" s="161"/>
      <c r="AZ97" s="163">
        <v>208387</v>
      </c>
      <c r="BA97" s="181"/>
      <c r="BB97" s="299">
        <f>AZ97*BB58</f>
        <v>593219.0032264795</v>
      </c>
    </row>
    <row r="98" spans="1:54" ht="12.75">
      <c r="A98" s="173"/>
      <c r="B98" s="173"/>
      <c r="C98" s="173"/>
      <c r="D98" s="143" t="s">
        <v>203</v>
      </c>
      <c r="E98" s="145" t="s">
        <v>204</v>
      </c>
      <c r="F98" s="173" t="s">
        <v>205</v>
      </c>
      <c r="G98" s="173" t="s">
        <v>190</v>
      </c>
      <c r="H98" s="173"/>
      <c r="I98" s="173" t="s">
        <v>206</v>
      </c>
      <c r="J98" s="243"/>
      <c r="K98" s="243"/>
      <c r="L98" s="160"/>
      <c r="M98" s="160"/>
      <c r="N98" s="160"/>
      <c r="O98" s="160"/>
      <c r="P98" s="189"/>
      <c r="Q98" s="160"/>
      <c r="R98" s="244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59" t="s">
        <v>88</v>
      </c>
      <c r="AU98" s="160"/>
      <c r="AV98" s="160"/>
      <c r="AW98" s="160"/>
      <c r="AX98" s="160"/>
      <c r="AY98" s="161"/>
      <c r="AZ98" s="163">
        <v>419996</v>
      </c>
      <c r="BA98" s="181"/>
      <c r="BB98" s="299">
        <f>AZ98*BB58</f>
        <v>1195610.1315298388</v>
      </c>
    </row>
    <row r="99" spans="1:54" ht="12.75">
      <c r="A99" s="144"/>
      <c r="B99" s="144"/>
      <c r="C99" s="144"/>
      <c r="D99" s="144" t="s">
        <v>207</v>
      </c>
      <c r="E99" s="103" t="s">
        <v>207</v>
      </c>
      <c r="F99" s="144" t="s">
        <v>208</v>
      </c>
      <c r="G99" s="144"/>
      <c r="H99" s="144"/>
      <c r="I99" s="144"/>
      <c r="J99" s="160"/>
      <c r="K99" s="160"/>
      <c r="L99" s="160"/>
      <c r="M99" s="160"/>
      <c r="N99" s="160"/>
      <c r="O99" s="160"/>
      <c r="P99" s="189"/>
      <c r="Q99" s="160"/>
      <c r="R99" s="244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59" t="s">
        <v>89</v>
      </c>
      <c r="AU99" s="160"/>
      <c r="AV99" s="160"/>
      <c r="AW99" s="160"/>
      <c r="AX99" s="160"/>
      <c r="AY99" s="161"/>
      <c r="AZ99" s="163">
        <v>134087</v>
      </c>
      <c r="BA99" s="181"/>
      <c r="BB99" s="299">
        <f>AZ99*BB58</f>
        <v>381707.8631854625</v>
      </c>
    </row>
    <row r="100" spans="1:54" ht="12.75">
      <c r="A100" s="152">
        <v>1</v>
      </c>
      <c r="B100" s="152">
        <v>2</v>
      </c>
      <c r="C100" s="152">
        <v>3</v>
      </c>
      <c r="D100" s="152">
        <v>4</v>
      </c>
      <c r="E100" s="152">
        <v>5</v>
      </c>
      <c r="F100" s="152">
        <v>6</v>
      </c>
      <c r="G100" s="152">
        <v>7</v>
      </c>
      <c r="H100" s="152">
        <v>8</v>
      </c>
      <c r="I100" s="152">
        <v>9</v>
      </c>
      <c r="J100" s="160"/>
      <c r="K100" s="160"/>
      <c r="L100" s="160"/>
      <c r="M100" s="160"/>
      <c r="N100" s="160"/>
      <c r="O100" s="160"/>
      <c r="P100" s="189"/>
      <c r="Q100" s="160"/>
      <c r="R100" s="244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59" t="s">
        <v>90</v>
      </c>
      <c r="AU100" s="160"/>
      <c r="AV100" s="160"/>
      <c r="AW100" s="160"/>
      <c r="AX100" s="160"/>
      <c r="AY100" s="161"/>
      <c r="AZ100" s="163">
        <v>280</v>
      </c>
      <c r="BA100" s="181"/>
      <c r="BB100" s="299">
        <f>AZ100*BB58</f>
        <v>797.0810122676284</v>
      </c>
    </row>
    <row r="101" spans="1:54" ht="12.75">
      <c r="A101" s="103"/>
      <c r="B101" s="148"/>
      <c r="C101" s="320" t="s">
        <v>287</v>
      </c>
      <c r="D101" s="320"/>
      <c r="E101" s="148"/>
      <c r="F101" s="148"/>
      <c r="G101" s="148"/>
      <c r="H101" s="148"/>
      <c r="I101" s="149"/>
      <c r="J101" s="160"/>
      <c r="K101" s="160"/>
      <c r="L101" s="160"/>
      <c r="M101" s="160"/>
      <c r="N101" s="160"/>
      <c r="O101" s="160"/>
      <c r="P101" s="189"/>
      <c r="Q101" s="160"/>
      <c r="R101" s="244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59" t="s">
        <v>91</v>
      </c>
      <c r="AU101" s="160"/>
      <c r="AV101" s="160"/>
      <c r="AW101" s="160"/>
      <c r="AX101" s="160"/>
      <c r="AY101" s="161"/>
      <c r="AZ101" s="163">
        <v>1500</v>
      </c>
      <c r="BA101" s="181"/>
      <c r="BB101" s="299">
        <f>AZ101*BB58</f>
        <v>4270.076851433723</v>
      </c>
    </row>
    <row r="102" spans="1:54" ht="12.75">
      <c r="A102" s="96"/>
      <c r="B102" s="102" t="s">
        <v>526</v>
      </c>
      <c r="C102" s="150"/>
      <c r="D102" s="150"/>
      <c r="E102" s="150"/>
      <c r="F102" s="150"/>
      <c r="G102" s="150"/>
      <c r="H102" s="150"/>
      <c r="I102" s="151"/>
      <c r="J102" s="160"/>
      <c r="K102" s="160"/>
      <c r="L102" s="160"/>
      <c r="M102" s="160"/>
      <c r="N102" s="160"/>
      <c r="O102" s="160"/>
      <c r="P102" s="189"/>
      <c r="Q102" s="160"/>
      <c r="R102" s="244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03" t="s">
        <v>41</v>
      </c>
      <c r="AU102" s="148"/>
      <c r="AV102" s="148"/>
      <c r="AW102" s="148"/>
      <c r="AX102" s="148"/>
      <c r="AY102" s="149"/>
      <c r="AZ102" s="164">
        <v>1000</v>
      </c>
      <c r="BA102" s="191"/>
      <c r="BB102" s="299">
        <f>AZ102*BB58</f>
        <v>2846.717900955816</v>
      </c>
    </row>
    <row r="103" spans="1:54" ht="12.75">
      <c r="A103" s="171">
        <v>1</v>
      </c>
      <c r="B103" s="143" t="s">
        <v>249</v>
      </c>
      <c r="C103" s="197">
        <v>804152757</v>
      </c>
      <c r="D103" s="230">
        <v>2123.3895</v>
      </c>
      <c r="E103" s="230">
        <v>2171.4687</v>
      </c>
      <c r="F103" s="155">
        <v>36000</v>
      </c>
      <c r="G103" s="252">
        <f>E103-D103</f>
        <v>48.07919999999967</v>
      </c>
      <c r="H103" s="96"/>
      <c r="I103" s="155">
        <f>F103*G103+H103</f>
        <v>1730851.1999999883</v>
      </c>
      <c r="J103" s="160"/>
      <c r="K103" s="160"/>
      <c r="L103" s="160"/>
      <c r="M103" s="160"/>
      <c r="N103" s="160"/>
      <c r="O103" s="160"/>
      <c r="P103" s="189"/>
      <c r="Q103" s="160"/>
      <c r="R103" s="244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255" t="s">
        <v>303</v>
      </c>
      <c r="AU103" s="146"/>
      <c r="AV103" s="146"/>
      <c r="AW103" s="146"/>
      <c r="AX103" s="146"/>
      <c r="AY103" s="147"/>
      <c r="AZ103" s="300">
        <f>SUM(AZ104:AZ108)</f>
        <v>12804</v>
      </c>
      <c r="BA103" s="202"/>
      <c r="BB103" s="299">
        <f>AZ103*BB58</f>
        <v>36449.37600383826</v>
      </c>
    </row>
    <row r="104" spans="1:54" ht="12.75">
      <c r="A104" s="144"/>
      <c r="B104" s="103" t="s">
        <v>250</v>
      </c>
      <c r="C104" s="213">
        <v>109054169</v>
      </c>
      <c r="D104" s="230">
        <v>2654.2677</v>
      </c>
      <c r="E104" s="230">
        <v>2715.2916</v>
      </c>
      <c r="F104" s="155">
        <v>36000</v>
      </c>
      <c r="G104" s="252">
        <f>E104-D104</f>
        <v>61.02390000000014</v>
      </c>
      <c r="H104" s="96"/>
      <c r="I104" s="155">
        <f>F104*G104+H104</f>
        <v>2196860.400000005</v>
      </c>
      <c r="J104" s="160"/>
      <c r="K104" s="160"/>
      <c r="L104" s="188"/>
      <c r="M104" s="188"/>
      <c r="N104" s="160"/>
      <c r="O104" s="160"/>
      <c r="P104" s="189"/>
      <c r="Q104" s="160"/>
      <c r="R104" s="244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59"/>
      <c r="AU104" s="160" t="s">
        <v>389</v>
      </c>
      <c r="AV104" s="160"/>
      <c r="AW104" s="160"/>
      <c r="AX104" s="160"/>
      <c r="AY104" s="161"/>
      <c r="AZ104" s="163">
        <v>1920</v>
      </c>
      <c r="BA104" s="181"/>
      <c r="BB104" s="299">
        <f>AZ104*BB58</f>
        <v>5465.698369835166</v>
      </c>
    </row>
    <row r="105" spans="1:54" ht="12.75">
      <c r="A105" s="102"/>
      <c r="B105" s="150"/>
      <c r="C105" s="148"/>
      <c r="D105" s="150"/>
      <c r="E105" s="150"/>
      <c r="F105" s="214" t="s">
        <v>212</v>
      </c>
      <c r="G105" s="150"/>
      <c r="H105" s="151"/>
      <c r="I105" s="155">
        <f>I103+I104</f>
        <v>3927711.599999993</v>
      </c>
      <c r="J105" s="160"/>
      <c r="K105" s="160"/>
      <c r="L105" s="160"/>
      <c r="M105" s="160"/>
      <c r="N105" s="160"/>
      <c r="O105" s="160"/>
      <c r="P105" s="190"/>
      <c r="Q105" s="160"/>
      <c r="R105" s="16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59" t="s">
        <v>385</v>
      </c>
      <c r="AU105" s="160"/>
      <c r="AV105" s="160" t="s">
        <v>304</v>
      </c>
      <c r="AW105" s="160"/>
      <c r="AX105" s="160"/>
      <c r="AY105" s="161"/>
      <c r="AZ105" s="163">
        <v>5280</v>
      </c>
      <c r="BA105" s="181"/>
      <c r="BB105" s="299">
        <f>AZ105*BB58</f>
        <v>15030.670517046707</v>
      </c>
    </row>
    <row r="106" spans="1:54" ht="12.75">
      <c r="A106" s="96" t="s">
        <v>213</v>
      </c>
      <c r="B106" s="102" t="s">
        <v>214</v>
      </c>
      <c r="C106" s="150"/>
      <c r="D106" s="150"/>
      <c r="E106" s="150"/>
      <c r="F106" s="150"/>
      <c r="G106" s="150"/>
      <c r="H106" s="150"/>
      <c r="I106" s="151"/>
      <c r="J106" s="160"/>
      <c r="K106" s="160"/>
      <c r="L106" s="160"/>
      <c r="M106" s="160"/>
      <c r="N106" s="160"/>
      <c r="O106" s="160"/>
      <c r="P106" s="190"/>
      <c r="Q106" s="160"/>
      <c r="R106" s="16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59" t="s">
        <v>385</v>
      </c>
      <c r="AU106" s="160"/>
      <c r="AV106" s="160" t="s">
        <v>390</v>
      </c>
      <c r="AW106" s="160"/>
      <c r="AX106" s="160"/>
      <c r="AY106" s="161"/>
      <c r="AZ106" s="163">
        <v>50</v>
      </c>
      <c r="BA106" s="181"/>
      <c r="BB106" s="299">
        <f>AZ106*BB58</f>
        <v>142.33589504779079</v>
      </c>
    </row>
    <row r="107" spans="1:54" ht="12.75">
      <c r="A107" s="96" t="s">
        <v>215</v>
      </c>
      <c r="B107" s="96" t="s">
        <v>216</v>
      </c>
      <c r="C107" s="213">
        <v>109053225</v>
      </c>
      <c r="D107" s="230">
        <v>7312.3174</v>
      </c>
      <c r="E107" s="230">
        <v>7350.6125</v>
      </c>
      <c r="F107" s="155">
        <v>21000</v>
      </c>
      <c r="G107" s="252">
        <f>E107-D107</f>
        <v>38.295100000000275</v>
      </c>
      <c r="H107" s="96"/>
      <c r="I107" s="155">
        <f>F107*G107+H107</f>
        <v>804197.1000000058</v>
      </c>
      <c r="J107" s="160"/>
      <c r="K107" s="160"/>
      <c r="L107" s="160"/>
      <c r="M107" s="160"/>
      <c r="N107" s="160"/>
      <c r="O107" s="160"/>
      <c r="P107" s="190"/>
      <c r="Q107" s="160"/>
      <c r="R107" s="16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60"/>
      <c r="AU107" s="160"/>
      <c r="AV107" s="160" t="s">
        <v>391</v>
      </c>
      <c r="AW107" s="160"/>
      <c r="AX107" s="160"/>
      <c r="AY107" s="160"/>
      <c r="AZ107" s="163">
        <v>220</v>
      </c>
      <c r="BA107" s="168"/>
      <c r="BB107" s="299">
        <f>AZ107*BB58</f>
        <v>626.2779382102794</v>
      </c>
    </row>
    <row r="108" spans="1:54" ht="12.75">
      <c r="A108" s="96" t="s">
        <v>521</v>
      </c>
      <c r="B108" s="150" t="s">
        <v>524</v>
      </c>
      <c r="C108" s="148"/>
      <c r="D108" s="150"/>
      <c r="E108" s="150"/>
      <c r="F108" s="214"/>
      <c r="G108" s="150"/>
      <c r="H108" s="151"/>
      <c r="I108" s="155"/>
      <c r="J108" s="160"/>
      <c r="K108" s="160"/>
      <c r="L108" s="160"/>
      <c r="M108" s="160"/>
      <c r="N108" s="160"/>
      <c r="O108" s="160"/>
      <c r="P108" s="190"/>
      <c r="Q108" s="160"/>
      <c r="R108" s="16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03" t="s">
        <v>155</v>
      </c>
      <c r="AU108" s="148"/>
      <c r="AV108" s="208"/>
      <c r="AW108" s="208"/>
      <c r="AX108" s="148"/>
      <c r="AY108" s="149"/>
      <c r="AZ108" s="164">
        <v>5334</v>
      </c>
      <c r="BA108" s="191"/>
      <c r="BB108" s="299">
        <f>AZ108*BB58</f>
        <v>15184.39328369832</v>
      </c>
    </row>
    <row r="109" spans="1:54" ht="12.75">
      <c r="A109" s="96" t="s">
        <v>522</v>
      </c>
      <c r="B109" s="102" t="s">
        <v>525</v>
      </c>
      <c r="C109" s="150"/>
      <c r="D109" s="150"/>
      <c r="E109" s="150"/>
      <c r="F109" s="150"/>
      <c r="G109" s="150"/>
      <c r="H109" s="151"/>
      <c r="I109" s="280"/>
      <c r="J109" s="160"/>
      <c r="K109" s="160"/>
      <c r="L109" s="160"/>
      <c r="M109" s="160"/>
      <c r="N109" s="160"/>
      <c r="O109" s="160"/>
      <c r="P109" s="190"/>
      <c r="Q109" s="160"/>
      <c r="R109" s="244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255" t="s">
        <v>536</v>
      </c>
      <c r="AU109" s="146"/>
      <c r="AV109" s="146"/>
      <c r="AW109" s="146"/>
      <c r="AX109" s="146"/>
      <c r="AY109" s="147"/>
      <c r="AZ109" s="300">
        <f>AZ110+AZ111</f>
        <v>46518</v>
      </c>
      <c r="BA109" s="202"/>
      <c r="BB109" s="299">
        <f>AZ109*BB58</f>
        <v>132423.62331666262</v>
      </c>
    </row>
    <row r="110" spans="1:54" ht="12.75">
      <c r="A110" s="102" t="s">
        <v>523</v>
      </c>
      <c r="B110" s="102"/>
      <c r="C110" s="371"/>
      <c r="D110" s="372"/>
      <c r="E110" s="372"/>
      <c r="F110" s="373"/>
      <c r="G110" s="374"/>
      <c r="H110" s="151"/>
      <c r="I110" s="280"/>
      <c r="J110" s="160"/>
      <c r="K110" s="160"/>
      <c r="L110" s="160"/>
      <c r="M110" s="160"/>
      <c r="N110" s="160"/>
      <c r="O110" s="160"/>
      <c r="P110" s="190"/>
      <c r="Q110" s="160"/>
      <c r="R110" s="16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59" t="s">
        <v>93</v>
      </c>
      <c r="AU110" s="160"/>
      <c r="AV110" s="160"/>
      <c r="AW110" s="160"/>
      <c r="AX110" s="160"/>
      <c r="AY110" s="161"/>
      <c r="AZ110" s="163">
        <v>5919</v>
      </c>
      <c r="BA110" s="181"/>
      <c r="BB110" s="299">
        <f>AZ110*BB58</f>
        <v>16849.72325575747</v>
      </c>
    </row>
    <row r="111" spans="1:54" ht="12.75">
      <c r="A111" s="96" t="s">
        <v>219</v>
      </c>
      <c r="B111" s="102" t="s">
        <v>220</v>
      </c>
      <c r="C111" s="150"/>
      <c r="D111" s="150"/>
      <c r="E111" s="150"/>
      <c r="F111" s="150"/>
      <c r="G111" s="150"/>
      <c r="H111" s="150"/>
      <c r="I111" s="151"/>
      <c r="J111" s="160"/>
      <c r="K111" s="160"/>
      <c r="L111" s="160"/>
      <c r="M111" s="160"/>
      <c r="N111" s="160"/>
      <c r="O111" s="160"/>
      <c r="P111" s="160"/>
      <c r="Q111" s="160"/>
      <c r="R111" s="16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03" t="s">
        <v>94</v>
      </c>
      <c r="AU111" s="148"/>
      <c r="AV111" s="148"/>
      <c r="AW111" s="148"/>
      <c r="AX111" s="148"/>
      <c r="AY111" s="149"/>
      <c r="AZ111" s="164">
        <v>40599</v>
      </c>
      <c r="BA111" s="191"/>
      <c r="BB111" s="299">
        <f>AZ111*BB58</f>
        <v>115573.90006090516</v>
      </c>
    </row>
    <row r="112" spans="1:54" ht="12.75">
      <c r="A112" s="143" t="s">
        <v>221</v>
      </c>
      <c r="B112" s="143" t="s">
        <v>224</v>
      </c>
      <c r="C112" s="197"/>
      <c r="D112" s="171"/>
      <c r="E112" s="171"/>
      <c r="F112" s="175"/>
      <c r="G112" s="171"/>
      <c r="H112" s="171"/>
      <c r="I112" s="171"/>
      <c r="J112" s="160"/>
      <c r="K112" s="160"/>
      <c r="L112" s="160"/>
      <c r="M112" s="160"/>
      <c r="N112" s="160"/>
      <c r="O112" s="160"/>
      <c r="P112" s="160"/>
      <c r="Q112" s="160"/>
      <c r="R112" s="16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273" t="s">
        <v>392</v>
      </c>
      <c r="AU112" s="150"/>
      <c r="AV112" s="150"/>
      <c r="AW112" s="150"/>
      <c r="AX112" s="150"/>
      <c r="AY112" s="151"/>
      <c r="AZ112" s="235">
        <v>13320</v>
      </c>
      <c r="BA112" s="199"/>
      <c r="BB112" s="299">
        <f>AZ112*BB58</f>
        <v>37918.28244073146</v>
      </c>
    </row>
    <row r="113" spans="1:54" ht="12.75">
      <c r="A113" s="144"/>
      <c r="B113" s="144" t="s">
        <v>222</v>
      </c>
      <c r="C113" s="198">
        <v>109056121</v>
      </c>
      <c r="D113" s="323">
        <v>6401.3207</v>
      </c>
      <c r="E113" s="323">
        <v>6426.8167</v>
      </c>
      <c r="F113" s="164">
        <v>4800</v>
      </c>
      <c r="G113" s="324">
        <f aca="true" t="shared" si="2" ref="G113:G132">E113-D113</f>
        <v>25.496000000000095</v>
      </c>
      <c r="H113" s="164"/>
      <c r="I113" s="164">
        <f>F113*G113+H113</f>
        <v>122380.80000000045</v>
      </c>
      <c r="J113" s="160"/>
      <c r="K113" s="160"/>
      <c r="L113" s="160"/>
      <c r="M113" s="160"/>
      <c r="N113" s="160"/>
      <c r="O113" s="160"/>
      <c r="P113" s="160"/>
      <c r="Q113" s="160"/>
      <c r="R113" s="16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273" t="s">
        <v>154</v>
      </c>
      <c r="AU113" s="150"/>
      <c r="AV113" s="150"/>
      <c r="AW113" s="150"/>
      <c r="AX113" s="150"/>
      <c r="AY113" s="151"/>
      <c r="AZ113" s="235">
        <v>17640</v>
      </c>
      <c r="BA113" s="199"/>
      <c r="BB113" s="299">
        <f>AZ113*BB58</f>
        <v>50216.10377286059</v>
      </c>
    </row>
    <row r="114" spans="1:54" ht="12.75">
      <c r="A114" s="143" t="s">
        <v>223</v>
      </c>
      <c r="B114" s="143" t="s">
        <v>235</v>
      </c>
      <c r="C114" s="197">
        <v>623125232</v>
      </c>
      <c r="D114" s="325">
        <v>2975.8291</v>
      </c>
      <c r="E114" s="325">
        <v>3004.4408</v>
      </c>
      <c r="F114" s="175">
        <v>1800</v>
      </c>
      <c r="G114" s="326">
        <f t="shared" si="2"/>
        <v>28.611699999999928</v>
      </c>
      <c r="H114" s="171"/>
      <c r="I114" s="175">
        <f>G114*F114</f>
        <v>51501.05999999987</v>
      </c>
      <c r="J114" s="160"/>
      <c r="K114" s="160"/>
      <c r="L114" s="160"/>
      <c r="M114" s="160"/>
      <c r="N114" s="160"/>
      <c r="O114" s="160"/>
      <c r="P114" s="160"/>
      <c r="Q114" s="160"/>
      <c r="R114" s="16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273" t="s">
        <v>362</v>
      </c>
      <c r="AU114" s="150"/>
      <c r="AV114" s="150"/>
      <c r="AW114" s="150"/>
      <c r="AX114" s="150"/>
      <c r="AY114" s="151"/>
      <c r="AZ114" s="235">
        <v>13412</v>
      </c>
      <c r="BA114" s="199"/>
      <c r="BB114" s="299">
        <f>AZ114*BB58</f>
        <v>38180.1804876194</v>
      </c>
    </row>
    <row r="115" spans="1:54" ht="12.75">
      <c r="A115" s="144"/>
      <c r="B115" s="144" t="s">
        <v>222</v>
      </c>
      <c r="C115" s="169"/>
      <c r="D115" s="228"/>
      <c r="E115" s="228"/>
      <c r="F115" s="164"/>
      <c r="G115" s="227"/>
      <c r="H115" s="169"/>
      <c r="I115" s="164"/>
      <c r="J115" s="160"/>
      <c r="K115" s="160"/>
      <c r="L115" s="160"/>
      <c r="M115" s="160"/>
      <c r="N115" s="160"/>
      <c r="O115" s="160"/>
      <c r="P115" s="160"/>
      <c r="Q115" s="160"/>
      <c r="R115" s="16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273" t="s">
        <v>297</v>
      </c>
      <c r="AU115" s="150"/>
      <c r="AV115" s="150"/>
      <c r="AW115" s="150"/>
      <c r="AX115" s="150"/>
      <c r="AY115" s="151"/>
      <c r="AZ115" s="235">
        <v>2572</v>
      </c>
      <c r="BA115" s="199"/>
      <c r="BB115" s="299">
        <f>AZ115*BB58</f>
        <v>7321.758441258358</v>
      </c>
    </row>
    <row r="116" spans="1:54" ht="12.75">
      <c r="A116" s="143" t="s">
        <v>225</v>
      </c>
      <c r="B116" s="143" t="s">
        <v>236</v>
      </c>
      <c r="C116" s="197">
        <v>623125667</v>
      </c>
      <c r="D116" s="325">
        <v>3383.1527</v>
      </c>
      <c r="E116" s="325">
        <v>3424.7309</v>
      </c>
      <c r="F116" s="175">
        <v>1800</v>
      </c>
      <c r="G116" s="326">
        <f t="shared" si="2"/>
        <v>41.578199999999924</v>
      </c>
      <c r="H116" s="171"/>
      <c r="I116" s="175">
        <f>G116*F116</f>
        <v>74840.75999999986</v>
      </c>
      <c r="J116" s="160"/>
      <c r="K116" s="160"/>
      <c r="L116" s="160"/>
      <c r="M116" s="160"/>
      <c r="N116" s="160"/>
      <c r="O116" s="160"/>
      <c r="P116" s="160"/>
      <c r="Q116" s="160"/>
      <c r="R116" s="16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273" t="s">
        <v>6</v>
      </c>
      <c r="AU116" s="150"/>
      <c r="AV116" s="150"/>
      <c r="AW116" s="150"/>
      <c r="AX116" s="150"/>
      <c r="AY116" s="151"/>
      <c r="AZ116" s="235">
        <v>20000</v>
      </c>
      <c r="BA116" s="199"/>
      <c r="BB116" s="299">
        <f>AZ116*BB58</f>
        <v>56934.35801911631</v>
      </c>
    </row>
    <row r="117" spans="1:54" ht="12.75">
      <c r="A117" s="144"/>
      <c r="B117" s="144" t="s">
        <v>222</v>
      </c>
      <c r="C117" s="169"/>
      <c r="D117" s="228"/>
      <c r="E117" s="228"/>
      <c r="F117" s="164"/>
      <c r="G117" s="227"/>
      <c r="H117" s="169"/>
      <c r="I117" s="164"/>
      <c r="J117" s="160"/>
      <c r="K117" s="160"/>
      <c r="L117" s="160"/>
      <c r="M117" s="160"/>
      <c r="N117" s="160"/>
      <c r="O117" s="160"/>
      <c r="P117" s="160"/>
      <c r="Q117" s="160"/>
      <c r="R117" s="16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273" t="s">
        <v>21</v>
      </c>
      <c r="AU117" s="214"/>
      <c r="AV117" s="150"/>
      <c r="AW117" s="150"/>
      <c r="AX117" s="150"/>
      <c r="AY117" s="151"/>
      <c r="AZ117" s="235">
        <v>5000</v>
      </c>
      <c r="BA117" s="199"/>
      <c r="BB117" s="299">
        <f>AZ117*BB58</f>
        <v>14233.589504779078</v>
      </c>
    </row>
    <row r="118" spans="1:54" ht="12.75">
      <c r="A118" s="143" t="s">
        <v>226</v>
      </c>
      <c r="B118" s="143" t="s">
        <v>237</v>
      </c>
      <c r="C118" s="197">
        <v>623126370</v>
      </c>
      <c r="D118" s="325">
        <v>675.4778</v>
      </c>
      <c r="E118" s="325">
        <v>680.6094</v>
      </c>
      <c r="F118" s="175">
        <v>4800</v>
      </c>
      <c r="G118" s="326">
        <f t="shared" si="2"/>
        <v>5.131600000000049</v>
      </c>
      <c r="H118" s="171"/>
      <c r="I118" s="175">
        <f>G118*F118</f>
        <v>24631.680000000233</v>
      </c>
      <c r="J118" s="160"/>
      <c r="K118" s="160"/>
      <c r="L118" s="160"/>
      <c r="M118" s="160"/>
      <c r="N118" s="160"/>
      <c r="O118" s="160"/>
      <c r="P118" s="160"/>
      <c r="Q118" s="160"/>
      <c r="R118" s="16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273" t="s">
        <v>388</v>
      </c>
      <c r="AU118" s="214"/>
      <c r="AV118" s="150"/>
      <c r="AW118" s="150"/>
      <c r="AX118" s="150"/>
      <c r="AY118" s="151"/>
      <c r="AZ118" s="235">
        <v>50</v>
      </c>
      <c r="BA118" s="199"/>
      <c r="BB118" s="299">
        <f>AZ118*BB58</f>
        <v>142.33589504779079</v>
      </c>
    </row>
    <row r="119" spans="1:54" ht="12.75">
      <c r="A119" s="144"/>
      <c r="B119" s="144" t="s">
        <v>222</v>
      </c>
      <c r="C119" s="169"/>
      <c r="D119" s="228"/>
      <c r="E119" s="228"/>
      <c r="F119" s="164"/>
      <c r="G119" s="227"/>
      <c r="H119" s="169"/>
      <c r="I119" s="164"/>
      <c r="J119" s="160"/>
      <c r="K119" s="160"/>
      <c r="L119" s="160"/>
      <c r="M119" s="160"/>
      <c r="N119" s="160"/>
      <c r="O119" s="160"/>
      <c r="P119" s="160"/>
      <c r="Q119" s="160"/>
      <c r="R119" s="16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273" t="s">
        <v>365</v>
      </c>
      <c r="AU119" s="214"/>
      <c r="AV119" s="150"/>
      <c r="AW119" s="150"/>
      <c r="AX119" s="150"/>
      <c r="AY119" s="151"/>
      <c r="AZ119" s="235">
        <v>21960</v>
      </c>
      <c r="BA119" s="199"/>
      <c r="BB119" s="299">
        <f>AZ119*BB58</f>
        <v>62513.925104989714</v>
      </c>
    </row>
    <row r="120" spans="1:54" ht="12.75">
      <c r="A120" s="143" t="s">
        <v>227</v>
      </c>
      <c r="B120" s="143" t="s">
        <v>238</v>
      </c>
      <c r="C120" s="197">
        <v>623125137</v>
      </c>
      <c r="D120" s="325">
        <v>682.4135</v>
      </c>
      <c r="E120" s="325">
        <v>691.1362</v>
      </c>
      <c r="F120" s="175">
        <v>4800</v>
      </c>
      <c r="G120" s="326">
        <f t="shared" si="2"/>
        <v>8.722700000000032</v>
      </c>
      <c r="H120" s="171"/>
      <c r="I120" s="175">
        <f>G120*F120</f>
        <v>41868.96000000015</v>
      </c>
      <c r="J120" s="160"/>
      <c r="K120" s="160"/>
      <c r="L120" s="160"/>
      <c r="M120" s="160"/>
      <c r="N120" s="160"/>
      <c r="O120" s="160"/>
      <c r="P120" s="160"/>
      <c r="Q120" s="160"/>
      <c r="R120" s="16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273"/>
      <c r="AU120" s="214"/>
      <c r="AV120" s="150"/>
      <c r="AW120" s="150"/>
      <c r="AX120" s="150"/>
      <c r="AY120" s="151"/>
      <c r="AZ120" s="235"/>
      <c r="BA120" s="199"/>
      <c r="BB120" s="299"/>
    </row>
    <row r="121" spans="1:54" ht="12.75">
      <c r="A121" s="144"/>
      <c r="B121" s="144" t="s">
        <v>222</v>
      </c>
      <c r="C121" s="169"/>
      <c r="D121" s="228"/>
      <c r="E121" s="228"/>
      <c r="F121" s="164"/>
      <c r="G121" s="227"/>
      <c r="H121" s="169"/>
      <c r="I121" s="164"/>
      <c r="J121" s="160"/>
      <c r="K121" s="160"/>
      <c r="L121" s="160"/>
      <c r="M121" s="160"/>
      <c r="N121" s="160"/>
      <c r="O121" s="160"/>
      <c r="P121" s="160"/>
      <c r="Q121" s="160"/>
      <c r="R121" s="16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02"/>
      <c r="AU121" s="150"/>
      <c r="AV121" s="150"/>
      <c r="AW121" s="150"/>
      <c r="AX121" s="150"/>
      <c r="AY121" s="151"/>
      <c r="AZ121" s="235"/>
      <c r="BA121" s="199"/>
      <c r="BB121" s="299"/>
    </row>
    <row r="122" spans="1:54" ht="12.75">
      <c r="A122" s="143" t="s">
        <v>228</v>
      </c>
      <c r="B122" s="143" t="s">
        <v>239</v>
      </c>
      <c r="C122" s="197">
        <v>623125142</v>
      </c>
      <c r="D122" s="325">
        <v>2373.0368</v>
      </c>
      <c r="E122" s="325">
        <v>2401.3919</v>
      </c>
      <c r="F122" s="175">
        <v>2400</v>
      </c>
      <c r="G122" s="326">
        <f t="shared" si="2"/>
        <v>28.35510000000022</v>
      </c>
      <c r="H122" s="171"/>
      <c r="I122" s="175">
        <f>G122*F122</f>
        <v>68052.24000000053</v>
      </c>
      <c r="J122" s="160"/>
      <c r="K122" s="160"/>
      <c r="L122" s="160"/>
      <c r="M122" s="160"/>
      <c r="N122" s="160"/>
      <c r="O122" s="160"/>
      <c r="P122" s="160"/>
      <c r="Q122" s="160"/>
      <c r="R122" s="16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02"/>
      <c r="AU122" s="150"/>
      <c r="AV122" s="150"/>
      <c r="AW122" s="150"/>
      <c r="AX122" s="150"/>
      <c r="AY122" s="151"/>
      <c r="AZ122" s="235"/>
      <c r="BA122" s="199"/>
      <c r="BB122" s="299"/>
    </row>
    <row r="123" spans="1:54" ht="12.75">
      <c r="A123" s="144"/>
      <c r="B123" s="144" t="s">
        <v>222</v>
      </c>
      <c r="C123" s="169"/>
      <c r="D123" s="228"/>
      <c r="E123" s="228"/>
      <c r="F123" s="164"/>
      <c r="G123" s="227"/>
      <c r="H123" s="169"/>
      <c r="I123" s="164"/>
      <c r="J123" s="160"/>
      <c r="K123" s="160"/>
      <c r="L123" s="160"/>
      <c r="M123" s="160"/>
      <c r="N123" s="160"/>
      <c r="O123" s="160"/>
      <c r="P123" s="160"/>
      <c r="Q123" s="160"/>
      <c r="R123" s="16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02"/>
      <c r="AU123" s="150"/>
      <c r="AV123" s="150"/>
      <c r="AW123" s="150"/>
      <c r="AX123" s="150"/>
      <c r="AY123" s="151"/>
      <c r="AZ123" s="235"/>
      <c r="BA123" s="199"/>
      <c r="BB123" s="299"/>
    </row>
    <row r="124" spans="1:54" ht="12.75">
      <c r="A124" s="143" t="s">
        <v>229</v>
      </c>
      <c r="B124" s="143" t="s">
        <v>240</v>
      </c>
      <c r="C124" s="197">
        <v>623125205</v>
      </c>
      <c r="D124" s="325">
        <v>1764.4453</v>
      </c>
      <c r="E124" s="325">
        <v>1806.3211</v>
      </c>
      <c r="F124" s="175">
        <v>1800</v>
      </c>
      <c r="G124" s="326">
        <f t="shared" si="2"/>
        <v>41.8757999999998</v>
      </c>
      <c r="H124" s="171"/>
      <c r="I124" s="175">
        <f>G124*F124</f>
        <v>75376.43999999964</v>
      </c>
      <c r="J124" s="160"/>
      <c r="K124" s="160"/>
      <c r="L124" s="160"/>
      <c r="M124" s="160"/>
      <c r="N124" s="160"/>
      <c r="O124" s="160"/>
      <c r="P124" s="160"/>
      <c r="Q124" s="160"/>
      <c r="R124" s="16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02"/>
      <c r="AU124" s="150"/>
      <c r="AV124" s="150"/>
      <c r="AW124" s="150"/>
      <c r="AX124" s="150"/>
      <c r="AY124" s="151"/>
      <c r="AZ124" s="235"/>
      <c r="BA124" s="199"/>
      <c r="BB124" s="299"/>
    </row>
    <row r="125" spans="1:54" ht="12.75">
      <c r="A125" s="144"/>
      <c r="B125" s="144" t="s">
        <v>222</v>
      </c>
      <c r="C125" s="169"/>
      <c r="D125" s="228"/>
      <c r="E125" s="228"/>
      <c r="F125" s="164"/>
      <c r="G125" s="227"/>
      <c r="H125" s="169"/>
      <c r="I125" s="164"/>
      <c r="J125" s="160"/>
      <c r="K125" s="160"/>
      <c r="L125" s="160"/>
      <c r="M125" s="160"/>
      <c r="N125" s="160"/>
      <c r="O125" s="160"/>
      <c r="P125" s="160"/>
      <c r="Q125" s="160"/>
      <c r="R125" s="16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02"/>
      <c r="AU125" s="150"/>
      <c r="AV125" s="150"/>
      <c r="AW125" s="150"/>
      <c r="AX125" s="150"/>
      <c r="AY125" s="151"/>
      <c r="AZ125" s="235"/>
      <c r="BA125" s="199"/>
      <c r="BB125" s="299"/>
    </row>
    <row r="126" spans="1:54" ht="12.75">
      <c r="A126" s="143" t="s">
        <v>230</v>
      </c>
      <c r="B126" s="143" t="s">
        <v>241</v>
      </c>
      <c r="C126" s="197">
        <v>623123704</v>
      </c>
      <c r="D126" s="325">
        <v>2224.913</v>
      </c>
      <c r="E126" s="325">
        <v>2267.017</v>
      </c>
      <c r="F126" s="175">
        <v>1800</v>
      </c>
      <c r="G126" s="326">
        <f t="shared" si="2"/>
        <v>42.103999999999814</v>
      </c>
      <c r="H126" s="171"/>
      <c r="I126" s="175">
        <f>G126*F126</f>
        <v>75787.19999999966</v>
      </c>
      <c r="J126" s="160"/>
      <c r="K126" s="160"/>
      <c r="L126" s="160"/>
      <c r="M126" s="160"/>
      <c r="N126" s="160"/>
      <c r="O126" s="160"/>
      <c r="P126" s="160"/>
      <c r="Q126" s="160"/>
      <c r="R126" s="16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02"/>
      <c r="AU126" s="150"/>
      <c r="AV126" s="219"/>
      <c r="AW126" s="219"/>
      <c r="AX126" s="150"/>
      <c r="AY126" s="151"/>
      <c r="AZ126" s="235"/>
      <c r="BA126" s="199"/>
      <c r="BB126" s="299"/>
    </row>
    <row r="127" spans="1:54" ht="12.75">
      <c r="A127" s="144"/>
      <c r="B127" s="144" t="s">
        <v>222</v>
      </c>
      <c r="C127" s="169"/>
      <c r="D127" s="228"/>
      <c r="E127" s="228"/>
      <c r="F127" s="164"/>
      <c r="G127" s="227"/>
      <c r="H127" s="169"/>
      <c r="I127" s="164"/>
      <c r="J127" s="160"/>
      <c r="K127" s="160"/>
      <c r="L127" s="160"/>
      <c r="M127" s="160"/>
      <c r="N127" s="160"/>
      <c r="O127" s="160"/>
      <c r="P127" s="160"/>
      <c r="Q127" s="160"/>
      <c r="R127" s="16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60"/>
      <c r="AU127" s="120"/>
      <c r="AV127" s="120"/>
      <c r="AW127" s="120"/>
      <c r="AX127" s="120"/>
      <c r="AY127" s="120"/>
      <c r="AZ127" s="274"/>
      <c r="BA127" s="120"/>
      <c r="BB127" s="120"/>
    </row>
    <row r="128" spans="1:54" ht="12.75">
      <c r="A128" s="143" t="s">
        <v>231</v>
      </c>
      <c r="B128" s="143" t="s">
        <v>242</v>
      </c>
      <c r="C128" s="197">
        <v>623125794</v>
      </c>
      <c r="D128" s="325">
        <v>66.3076</v>
      </c>
      <c r="E128" s="325">
        <v>68.4749</v>
      </c>
      <c r="F128" s="175">
        <v>1800</v>
      </c>
      <c r="G128" s="326">
        <f>E128-D128</f>
        <v>2.1673000000000116</v>
      </c>
      <c r="H128" s="171"/>
      <c r="I128" s="175">
        <f>G128*F128</f>
        <v>3901.140000000021</v>
      </c>
      <c r="J128" s="160"/>
      <c r="K128" s="160"/>
      <c r="L128" s="160"/>
      <c r="M128" s="160"/>
      <c r="N128" s="160"/>
      <c r="O128" s="160"/>
      <c r="P128" s="160"/>
      <c r="Q128" s="160"/>
      <c r="R128" s="16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60"/>
      <c r="AU128" s="120"/>
      <c r="AV128" s="120"/>
      <c r="AW128" s="120"/>
      <c r="AX128" s="120"/>
      <c r="AY128" s="120"/>
      <c r="AZ128" s="274"/>
      <c r="BA128" s="120"/>
      <c r="BB128" s="120"/>
    </row>
    <row r="129" spans="1:54" ht="12.75">
      <c r="A129" s="144"/>
      <c r="B129" s="144" t="s">
        <v>222</v>
      </c>
      <c r="C129" s="169"/>
      <c r="D129" s="228"/>
      <c r="E129" s="228"/>
      <c r="F129" s="164"/>
      <c r="G129" s="227"/>
      <c r="H129" s="169"/>
      <c r="I129" s="164"/>
      <c r="J129" s="160"/>
      <c r="K129" s="160"/>
      <c r="L129" s="160"/>
      <c r="M129" s="160"/>
      <c r="N129" s="160"/>
      <c r="O129" s="160"/>
      <c r="P129" s="160"/>
      <c r="Q129" s="160"/>
      <c r="R129" s="16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60"/>
      <c r="AU129" s="120"/>
      <c r="AV129" s="120"/>
      <c r="AW129" s="120"/>
      <c r="AX129" s="120"/>
      <c r="AY129" s="120"/>
      <c r="AZ129" s="274"/>
      <c r="BA129" s="120"/>
      <c r="BB129" s="120"/>
    </row>
    <row r="130" spans="1:54" ht="12.75">
      <c r="A130" s="143" t="s">
        <v>232</v>
      </c>
      <c r="B130" s="143" t="s">
        <v>243</v>
      </c>
      <c r="C130" s="197">
        <v>623125736</v>
      </c>
      <c r="D130" s="325">
        <v>2838.5463</v>
      </c>
      <c r="E130" s="325">
        <v>2873.6755</v>
      </c>
      <c r="F130" s="175">
        <v>1200</v>
      </c>
      <c r="G130" s="326">
        <f t="shared" si="2"/>
        <v>35.129199999999855</v>
      </c>
      <c r="H130" s="171"/>
      <c r="I130" s="175">
        <f>G130*F130</f>
        <v>42155.039999999826</v>
      </c>
      <c r="J130" s="160"/>
      <c r="K130" s="160"/>
      <c r="L130" s="160"/>
      <c r="M130" s="160"/>
      <c r="N130" s="160"/>
      <c r="O130" s="160"/>
      <c r="P130" s="160"/>
      <c r="Q130" s="160"/>
      <c r="R130" s="16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60"/>
      <c r="AU130" s="120"/>
      <c r="AV130" s="120"/>
      <c r="AW130" s="120"/>
      <c r="AX130" s="120"/>
      <c r="AY130" s="120"/>
      <c r="AZ130" s="274"/>
      <c r="BA130" s="120"/>
      <c r="BB130" s="120"/>
    </row>
    <row r="131" spans="1:54" ht="12.75">
      <c r="A131" s="144"/>
      <c r="B131" s="144" t="s">
        <v>222</v>
      </c>
      <c r="C131" s="168"/>
      <c r="D131" s="228"/>
      <c r="E131" s="228"/>
      <c r="F131" s="164"/>
      <c r="G131" s="227"/>
      <c r="H131" s="169"/>
      <c r="I131" s="164"/>
      <c r="J131" s="160"/>
      <c r="K131" s="160"/>
      <c r="L131" s="160"/>
      <c r="M131" s="160"/>
      <c r="N131" s="160"/>
      <c r="O131" s="160"/>
      <c r="P131" s="160"/>
      <c r="Q131" s="160"/>
      <c r="R131" s="16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60"/>
      <c r="AU131" s="120" t="s">
        <v>9</v>
      </c>
      <c r="AV131" s="120"/>
      <c r="AW131" s="120"/>
      <c r="AX131" s="120"/>
      <c r="AY131" s="120"/>
      <c r="AZ131" s="301">
        <f>AZ9</f>
        <v>6120743</v>
      </c>
      <c r="BA131" s="120"/>
      <c r="BB131" s="275">
        <f>SUM(BB93:BB96)+BB103+BB109+SUM(BB112:BB126)</f>
        <v>17424028.665250003</v>
      </c>
    </row>
    <row r="132" spans="1:54" ht="12.75">
      <c r="A132" s="143" t="s">
        <v>233</v>
      </c>
      <c r="B132" s="145" t="s">
        <v>234</v>
      </c>
      <c r="C132" s="197">
        <v>1110171156</v>
      </c>
      <c r="D132" s="325">
        <v>1102.0188</v>
      </c>
      <c r="E132" s="325">
        <v>1174.874</v>
      </c>
      <c r="F132" s="175">
        <v>40</v>
      </c>
      <c r="G132" s="326">
        <f t="shared" si="2"/>
        <v>72.85519999999997</v>
      </c>
      <c r="H132" s="171"/>
      <c r="I132" s="175">
        <f>G132*F132</f>
        <v>2914.2079999999987</v>
      </c>
      <c r="J132" s="160"/>
      <c r="K132" s="160"/>
      <c r="L132" s="160"/>
      <c r="M132" s="160"/>
      <c r="N132" s="160"/>
      <c r="O132" s="160"/>
      <c r="P132" s="160"/>
      <c r="Q132" s="160"/>
      <c r="R132" s="16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60"/>
      <c r="AU132" s="120"/>
      <c r="AV132" s="120"/>
      <c r="AW132" s="120"/>
      <c r="AX132" s="120"/>
      <c r="AY132" s="120"/>
      <c r="AZ132" s="274"/>
      <c r="BA132" s="120"/>
      <c r="BB132" s="120"/>
    </row>
    <row r="133" spans="1:54" ht="12.75">
      <c r="A133" s="144"/>
      <c r="B133" s="103" t="s">
        <v>222</v>
      </c>
      <c r="C133" s="169"/>
      <c r="D133" s="379"/>
      <c r="E133" s="228"/>
      <c r="F133" s="164"/>
      <c r="G133" s="229"/>
      <c r="H133" s="169"/>
      <c r="I133" s="164"/>
      <c r="J133" s="160"/>
      <c r="K133" s="160"/>
      <c r="L133" s="160"/>
      <c r="M133" s="160"/>
      <c r="N133" s="160"/>
      <c r="O133" s="160"/>
      <c r="P133" s="160"/>
      <c r="Q133" s="160"/>
      <c r="R133" s="16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60"/>
      <c r="AU133" s="120"/>
      <c r="AV133" s="120"/>
      <c r="AW133" s="120"/>
      <c r="AX133" s="120"/>
      <c r="AY133" s="120"/>
      <c r="AZ133" s="120"/>
      <c r="BA133" s="120"/>
      <c r="BB133" s="120"/>
    </row>
    <row r="134" spans="1:54" ht="12.75">
      <c r="A134" s="201"/>
      <c r="B134" s="150"/>
      <c r="C134" s="191"/>
      <c r="D134" s="199"/>
      <c r="E134" s="200"/>
      <c r="F134" s="200"/>
      <c r="G134" s="215" t="s">
        <v>244</v>
      </c>
      <c r="H134" s="151"/>
      <c r="I134" s="235">
        <f>SUM(I112:I133)+I107</f>
        <v>1387606.628000006</v>
      </c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60" t="s">
        <v>575</v>
      </c>
      <c r="AU134" s="120"/>
      <c r="AV134" s="120"/>
      <c r="AW134" s="120"/>
      <c r="AX134" s="120"/>
      <c r="AY134" s="120"/>
      <c r="AZ134" s="120"/>
      <c r="BA134" s="120"/>
      <c r="BB134" s="120"/>
    </row>
    <row r="135" spans="1:54" ht="12.75">
      <c r="A135" s="143" t="s">
        <v>247</v>
      </c>
      <c r="B135" s="145" t="s">
        <v>245</v>
      </c>
      <c r="C135" s="202"/>
      <c r="D135" s="202"/>
      <c r="E135" s="203"/>
      <c r="F135" s="203"/>
      <c r="G135" s="204"/>
      <c r="H135" s="146"/>
      <c r="I135" s="205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60"/>
      <c r="AU135" s="120"/>
      <c r="AV135" s="120"/>
      <c r="AW135" s="120"/>
      <c r="AX135" s="120"/>
      <c r="AY135" s="120"/>
      <c r="AZ135" s="120"/>
      <c r="BA135" s="120"/>
      <c r="BB135" s="120"/>
    </row>
    <row r="136" spans="1:54" ht="12.75">
      <c r="A136" s="173"/>
      <c r="B136" s="159" t="s">
        <v>246</v>
      </c>
      <c r="C136" s="206"/>
      <c r="D136" s="191"/>
      <c r="E136" s="207"/>
      <c r="F136" s="207"/>
      <c r="G136" s="208"/>
      <c r="H136" s="148"/>
      <c r="I136" s="209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60" t="s">
        <v>143</v>
      </c>
      <c r="AU136" s="120"/>
      <c r="AV136" s="120"/>
      <c r="AW136" s="120"/>
      <c r="AX136" s="120"/>
      <c r="AY136" s="120"/>
      <c r="AZ136" s="120"/>
      <c r="BA136" s="120"/>
      <c r="BB136" s="120"/>
    </row>
    <row r="137" spans="1:54" ht="12.75">
      <c r="A137" s="145" t="s">
        <v>248</v>
      </c>
      <c r="B137" s="143" t="s">
        <v>489</v>
      </c>
      <c r="C137" s="304"/>
      <c r="D137" s="211"/>
      <c r="E137" s="211"/>
      <c r="F137" s="155"/>
      <c r="G137" s="212"/>
      <c r="H137" s="152"/>
      <c r="I137" s="155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60"/>
      <c r="AU137" s="120"/>
      <c r="AV137" s="120"/>
      <c r="AW137" s="120"/>
      <c r="AX137" s="120"/>
      <c r="AY137" s="120"/>
      <c r="AZ137" s="120"/>
      <c r="BA137" s="120"/>
      <c r="BB137" s="120"/>
    </row>
    <row r="138" spans="1:54" ht="12.75">
      <c r="A138" s="159"/>
      <c r="B138" s="173"/>
      <c r="C138" s="305">
        <v>611127627</v>
      </c>
      <c r="D138" s="302">
        <v>2332.356</v>
      </c>
      <c r="E138" s="302">
        <v>2366.7188</v>
      </c>
      <c r="F138" s="155">
        <v>40</v>
      </c>
      <c r="G138" s="252">
        <f>E138-D138</f>
        <v>34.36279999999988</v>
      </c>
      <c r="H138" s="155"/>
      <c r="I138" s="155">
        <f>ROUND(F138*G138+H138,0)</f>
        <v>1375</v>
      </c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60"/>
      <c r="AU138" s="120"/>
      <c r="AV138" s="120"/>
      <c r="AW138" s="120"/>
      <c r="AX138" s="120"/>
      <c r="AY138" s="120"/>
      <c r="AZ138" s="120"/>
      <c r="BA138" s="120"/>
      <c r="BB138" s="120"/>
    </row>
    <row r="139" spans="1:54" ht="12.75">
      <c r="A139" s="159"/>
      <c r="B139" s="144" t="s">
        <v>467</v>
      </c>
      <c r="C139" s="305"/>
      <c r="D139" s="306"/>
      <c r="E139" s="306"/>
      <c r="F139" s="155"/>
      <c r="G139" s="212"/>
      <c r="H139" s="155"/>
      <c r="I139" s="155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</row>
    <row r="140" spans="1:54" ht="12.75">
      <c r="A140" s="143" t="s">
        <v>251</v>
      </c>
      <c r="B140" s="161"/>
      <c r="C140" s="213">
        <v>810120245</v>
      </c>
      <c r="D140" s="302">
        <v>1281.1524</v>
      </c>
      <c r="E140" s="302">
        <v>1281.7082</v>
      </c>
      <c r="F140" s="155">
        <v>3600</v>
      </c>
      <c r="G140" s="252">
        <f aca="true" t="shared" si="3" ref="G140:G145">E140-D140</f>
        <v>0.5558000000000902</v>
      </c>
      <c r="H140" s="155"/>
      <c r="I140" s="155">
        <f aca="true" t="shared" si="4" ref="I140:I145">ROUND(F140*G140+H140,0)</f>
        <v>2001</v>
      </c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</row>
    <row r="141" spans="1:54" ht="12.75">
      <c r="A141" s="173"/>
      <c r="B141" s="161" t="s">
        <v>495</v>
      </c>
      <c r="C141" s="213"/>
      <c r="D141" s="302"/>
      <c r="E141" s="302"/>
      <c r="F141" s="155"/>
      <c r="G141" s="252"/>
      <c r="H141" s="96"/>
      <c r="I141" s="155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</row>
    <row r="142" spans="1:54" ht="12.75">
      <c r="A142" s="173"/>
      <c r="B142" s="161"/>
      <c r="C142" s="210">
        <v>4050284</v>
      </c>
      <c r="D142" s="230">
        <v>4177.6859</v>
      </c>
      <c r="E142" s="230">
        <v>4200.769</v>
      </c>
      <c r="F142" s="155">
        <v>3600</v>
      </c>
      <c r="G142" s="253">
        <f t="shared" si="3"/>
        <v>23.08309999999983</v>
      </c>
      <c r="H142" s="96"/>
      <c r="I142" s="155">
        <f t="shared" si="4"/>
        <v>83099</v>
      </c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</row>
    <row r="143" spans="1:54" ht="12.75">
      <c r="A143" s="144"/>
      <c r="B143" s="149"/>
      <c r="C143" s="210"/>
      <c r="D143" s="230"/>
      <c r="E143" s="230"/>
      <c r="F143" s="155"/>
      <c r="G143" s="253"/>
      <c r="H143" s="96"/>
      <c r="I143" s="155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</row>
    <row r="144" spans="1:54" ht="12.75">
      <c r="A144" s="173" t="s">
        <v>252</v>
      </c>
      <c r="B144" s="143" t="s">
        <v>218</v>
      </c>
      <c r="C144" s="152"/>
      <c r="D144" s="211"/>
      <c r="E144" s="211"/>
      <c r="F144" s="155"/>
      <c r="G144" s="212"/>
      <c r="H144" s="96"/>
      <c r="I144" s="155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</row>
    <row r="145" spans="1:54" ht="12.75">
      <c r="A145" s="307"/>
      <c r="B145" s="173" t="s">
        <v>217</v>
      </c>
      <c r="C145" s="305">
        <v>611127492</v>
      </c>
      <c r="D145" s="302">
        <v>5683.1588</v>
      </c>
      <c r="E145" s="302">
        <v>5734.5648</v>
      </c>
      <c r="F145" s="155">
        <v>20</v>
      </c>
      <c r="G145" s="252">
        <f t="shared" si="3"/>
        <v>51.40599999999995</v>
      </c>
      <c r="H145" s="155"/>
      <c r="I145" s="155">
        <f t="shared" si="4"/>
        <v>1028</v>
      </c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</row>
    <row r="146" spans="1:54" ht="12.75">
      <c r="A146" s="145" t="s">
        <v>253</v>
      </c>
      <c r="B146" s="143" t="s">
        <v>490</v>
      </c>
      <c r="C146" s="309"/>
      <c r="D146" s="211"/>
      <c r="E146" s="211"/>
      <c r="F146" s="155"/>
      <c r="G146" s="212"/>
      <c r="H146" s="96"/>
      <c r="I146" s="155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</row>
    <row r="147" spans="1:54" ht="12.75">
      <c r="A147" s="308"/>
      <c r="B147" s="168" t="s">
        <v>546</v>
      </c>
      <c r="C147" s="305">
        <v>611127702</v>
      </c>
      <c r="D147" s="302">
        <v>6830.092</v>
      </c>
      <c r="E147" s="302">
        <v>6853.9528</v>
      </c>
      <c r="F147" s="155">
        <v>60</v>
      </c>
      <c r="G147" s="252">
        <f>E147-D147</f>
        <v>23.86080000000038</v>
      </c>
      <c r="H147" s="96"/>
      <c r="I147" s="155">
        <f>ROUND(F147*G147+H147,0)</f>
        <v>1432</v>
      </c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</row>
    <row r="148" spans="1:54" ht="12.75">
      <c r="A148" s="159"/>
      <c r="B148" s="168" t="s">
        <v>547</v>
      </c>
      <c r="C148" s="305">
        <v>611127555</v>
      </c>
      <c r="D148" s="302">
        <v>1230.2752</v>
      </c>
      <c r="E148" s="302">
        <v>1352.762</v>
      </c>
      <c r="F148" s="155">
        <v>60</v>
      </c>
      <c r="G148" s="252">
        <f>E148-D148</f>
        <v>122.4867999999999</v>
      </c>
      <c r="H148" s="96"/>
      <c r="I148" s="155">
        <f>ROUND(F148*G148+H148,0)</f>
        <v>7349</v>
      </c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</row>
    <row r="149" spans="1:54" ht="12.75">
      <c r="A149" s="145" t="s">
        <v>258</v>
      </c>
      <c r="B149" s="143" t="s">
        <v>491</v>
      </c>
      <c r="C149" s="310"/>
      <c r="D149" s="232"/>
      <c r="E149" s="232"/>
      <c r="F149" s="155"/>
      <c r="G149" s="212"/>
      <c r="H149" s="96"/>
      <c r="I149" s="155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</row>
    <row r="150" spans="1:54" ht="12.75">
      <c r="A150" s="308"/>
      <c r="B150" s="173"/>
      <c r="C150" s="305">
        <v>1110171163</v>
      </c>
      <c r="D150" s="230">
        <v>292.176</v>
      </c>
      <c r="E150" s="230">
        <v>350.7876</v>
      </c>
      <c r="F150" s="155">
        <v>60</v>
      </c>
      <c r="G150" s="252">
        <f>E150-D150</f>
        <v>58.61160000000001</v>
      </c>
      <c r="H150" s="96"/>
      <c r="I150" s="155">
        <f>ROUND(F150*G150+H150,0)</f>
        <v>3517</v>
      </c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</row>
    <row r="151" spans="1:54" ht="12.75">
      <c r="A151" s="159"/>
      <c r="B151" s="173"/>
      <c r="C151" s="305"/>
      <c r="D151" s="211"/>
      <c r="E151" s="211"/>
      <c r="F151" s="155"/>
      <c r="G151" s="212"/>
      <c r="H151" s="96"/>
      <c r="I151" s="155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</row>
    <row r="152" spans="1:54" ht="12.75">
      <c r="A152" s="145" t="s">
        <v>260</v>
      </c>
      <c r="B152" s="143" t="s">
        <v>492</v>
      </c>
      <c r="C152" s="311"/>
      <c r="D152" s="232"/>
      <c r="E152" s="232"/>
      <c r="F152" s="155"/>
      <c r="G152" s="212"/>
      <c r="H152" s="96"/>
      <c r="I152" s="155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</row>
    <row r="153" spans="1:54" ht="12.75">
      <c r="A153" s="159"/>
      <c r="B153" s="173"/>
      <c r="C153" s="305">
        <v>1110171170</v>
      </c>
      <c r="D153" s="302">
        <v>159.1984</v>
      </c>
      <c r="E153" s="302">
        <v>166.5536</v>
      </c>
      <c r="F153" s="155">
        <v>40</v>
      </c>
      <c r="G153" s="252">
        <f>E153-D153</f>
        <v>7.355199999999996</v>
      </c>
      <c r="H153" s="155"/>
      <c r="I153" s="155">
        <f>ROUND(F153*G153+H153,0)</f>
        <v>294</v>
      </c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</row>
    <row r="154" spans="1:54" ht="12.75">
      <c r="A154" s="159"/>
      <c r="B154" s="173"/>
      <c r="C154" s="305"/>
      <c r="D154" s="306"/>
      <c r="E154" s="306"/>
      <c r="F154" s="155"/>
      <c r="G154" s="212"/>
      <c r="H154" s="155"/>
      <c r="I154" s="155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</row>
    <row r="155" spans="1:54" ht="12.75">
      <c r="A155" s="143" t="s">
        <v>261</v>
      </c>
      <c r="B155" s="147" t="s">
        <v>541</v>
      </c>
      <c r="C155" s="305">
        <v>611126342</v>
      </c>
      <c r="D155" s="302">
        <v>6059.7548</v>
      </c>
      <c r="E155" s="302">
        <v>6059.7548</v>
      </c>
      <c r="F155" s="155">
        <v>1800</v>
      </c>
      <c r="G155" s="252">
        <f>E155-D155</f>
        <v>0</v>
      </c>
      <c r="H155" s="155"/>
      <c r="I155" s="155">
        <f>ROUND(F155*G155+H155,0)</f>
        <v>0</v>
      </c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</row>
    <row r="156" spans="1:54" ht="12.75">
      <c r="A156" s="173"/>
      <c r="B156" s="161" t="s">
        <v>469</v>
      </c>
      <c r="C156" s="305">
        <v>611126404</v>
      </c>
      <c r="D156" s="302">
        <v>825.6847</v>
      </c>
      <c r="E156" s="302">
        <v>842.4975</v>
      </c>
      <c r="F156" s="155">
        <v>1800</v>
      </c>
      <c r="G156" s="252">
        <f>E156-D156</f>
        <v>16.812799999999925</v>
      </c>
      <c r="H156" s="155"/>
      <c r="I156" s="155">
        <f>ROUND(F156*G156+H156,0)</f>
        <v>30263</v>
      </c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</row>
    <row r="157" spans="1:54" ht="12.75">
      <c r="A157" s="144"/>
      <c r="B157" s="149" t="s">
        <v>509</v>
      </c>
      <c r="C157" s="305">
        <v>611126334</v>
      </c>
      <c r="D157" s="302">
        <v>0.1356</v>
      </c>
      <c r="E157" s="302">
        <v>0.1356</v>
      </c>
      <c r="F157" s="155">
        <v>1800</v>
      </c>
      <c r="G157" s="252">
        <f>E157-D157</f>
        <v>0</v>
      </c>
      <c r="H157" s="96"/>
      <c r="I157" s="155">
        <f>ROUND(F157*G157+H157,0)</f>
        <v>0</v>
      </c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</row>
    <row r="158" spans="1:54" ht="12.75">
      <c r="A158" s="159" t="s">
        <v>477</v>
      </c>
      <c r="B158" s="143" t="s">
        <v>493</v>
      </c>
      <c r="C158" s="305">
        <v>611127724</v>
      </c>
      <c r="D158" s="302">
        <v>618.6748</v>
      </c>
      <c r="E158" s="302">
        <v>626.4836</v>
      </c>
      <c r="F158" s="155">
        <v>30</v>
      </c>
      <c r="G158" s="252">
        <f>E158-D158</f>
        <v>7.808800000000019</v>
      </c>
      <c r="H158" s="155"/>
      <c r="I158" s="155">
        <f>ROUND(F158*G158+H158,0)</f>
        <v>234</v>
      </c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</row>
    <row r="159" spans="1:54" ht="12.75">
      <c r="A159" s="103"/>
      <c r="B159" s="173" t="s">
        <v>540</v>
      </c>
      <c r="C159" s="305"/>
      <c r="D159" s="306"/>
      <c r="E159" s="306"/>
      <c r="F159" s="155"/>
      <c r="G159" s="212"/>
      <c r="H159" s="155"/>
      <c r="I159" s="155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</row>
    <row r="160" spans="1:54" ht="12.75">
      <c r="A160" s="96"/>
      <c r="B160" s="312"/>
      <c r="C160" s="171"/>
      <c r="D160" s="306"/>
      <c r="E160" s="306"/>
      <c r="F160" s="155"/>
      <c r="G160" s="212"/>
      <c r="H160" s="155"/>
      <c r="I160" s="155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</row>
    <row r="161" spans="1:54" ht="12.75">
      <c r="A161" s="103"/>
      <c r="B161" s="148"/>
      <c r="C161" s="150"/>
      <c r="D161" s="150"/>
      <c r="E161" s="150"/>
      <c r="F161" s="150" t="s">
        <v>264</v>
      </c>
      <c r="G161" s="150"/>
      <c r="H161" s="151"/>
      <c r="I161" s="235">
        <f>SUM(I137:I159)-I160</f>
        <v>130592</v>
      </c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</row>
    <row r="162" spans="1:54" ht="12.75">
      <c r="A162" s="102"/>
      <c r="B162" s="150"/>
      <c r="C162" s="150"/>
      <c r="D162" s="150"/>
      <c r="E162" s="150"/>
      <c r="F162" s="150"/>
      <c r="G162" s="150" t="s">
        <v>265</v>
      </c>
      <c r="H162" s="151"/>
      <c r="I162" s="235">
        <f>I103+I104+I107+I108+I109+I110-I134-I161</f>
        <v>3213710.071999993</v>
      </c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</row>
    <row r="163" spans="1:54" ht="12.75">
      <c r="A163" s="96" t="s">
        <v>272</v>
      </c>
      <c r="B163" s="102" t="s">
        <v>266</v>
      </c>
      <c r="C163" s="150"/>
      <c r="D163" s="150"/>
      <c r="E163" s="150"/>
      <c r="F163" s="150"/>
      <c r="G163" s="150"/>
      <c r="H163" s="150"/>
      <c r="I163" s="151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</row>
    <row r="164" spans="1:54" ht="12.75">
      <c r="A164" s="143" t="s">
        <v>270</v>
      </c>
      <c r="B164" s="143" t="s">
        <v>267</v>
      </c>
      <c r="C164" s="171">
        <v>18705639</v>
      </c>
      <c r="D164" s="321">
        <v>38</v>
      </c>
      <c r="E164" s="321">
        <v>38</v>
      </c>
      <c r="F164" s="175">
        <v>30</v>
      </c>
      <c r="G164" s="322">
        <f>E164-D164</f>
        <v>0</v>
      </c>
      <c r="H164" s="143"/>
      <c r="I164" s="175">
        <f>F164*G164+H164</f>
        <v>0</v>
      </c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</row>
    <row r="165" spans="1:54" ht="12.75">
      <c r="A165" s="144"/>
      <c r="B165" s="144" t="s">
        <v>268</v>
      </c>
      <c r="C165" s="169"/>
      <c r="D165" s="144"/>
      <c r="E165" s="144"/>
      <c r="F165" s="164"/>
      <c r="G165" s="144"/>
      <c r="H165" s="144"/>
      <c r="I165" s="144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</row>
    <row r="166" spans="1:54" ht="12.75">
      <c r="A166" s="143" t="s">
        <v>271</v>
      </c>
      <c r="B166" s="143" t="s">
        <v>269</v>
      </c>
      <c r="C166" s="171">
        <v>18705843</v>
      </c>
      <c r="D166" s="321">
        <v>204.4</v>
      </c>
      <c r="E166" s="321">
        <v>204.4</v>
      </c>
      <c r="F166" s="175">
        <v>30</v>
      </c>
      <c r="G166" s="233">
        <f>E166-D166</f>
        <v>0</v>
      </c>
      <c r="H166" s="143"/>
      <c r="I166" s="175">
        <f>F166*G166+H166</f>
        <v>0</v>
      </c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</row>
    <row r="167" spans="1:54" ht="12.75">
      <c r="A167" s="144"/>
      <c r="B167" s="144" t="s">
        <v>268</v>
      </c>
      <c r="C167" s="169"/>
      <c r="D167" s="144"/>
      <c r="E167" s="144"/>
      <c r="F167" s="164"/>
      <c r="G167" s="144"/>
      <c r="H167" s="144"/>
      <c r="I167" s="144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</row>
    <row r="168" spans="1:54" ht="12.75">
      <c r="A168" s="102"/>
      <c r="B168" s="150"/>
      <c r="C168" s="217"/>
      <c r="D168" s="199"/>
      <c r="E168" s="218"/>
      <c r="F168" s="218" t="s">
        <v>273</v>
      </c>
      <c r="G168" s="219"/>
      <c r="H168" s="151"/>
      <c r="I168" s="155">
        <f>I164+I166</f>
        <v>0</v>
      </c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</row>
    <row r="169" spans="1:54" ht="12.75">
      <c r="A169" s="102"/>
      <c r="B169" s="150"/>
      <c r="C169" s="217"/>
      <c r="D169" s="199"/>
      <c r="E169" s="218"/>
      <c r="F169" s="218"/>
      <c r="G169" s="219" t="s">
        <v>274</v>
      </c>
      <c r="H169" s="151"/>
      <c r="I169" s="235">
        <f>I162+I168</f>
        <v>3213710.071999993</v>
      </c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</row>
    <row r="170" spans="1:54" ht="12.75">
      <c r="A170" s="145" t="s">
        <v>275</v>
      </c>
      <c r="B170" s="146"/>
      <c r="C170" s="220"/>
      <c r="D170" s="202"/>
      <c r="E170" s="221"/>
      <c r="F170" s="221"/>
      <c r="G170" s="204"/>
      <c r="H170" s="146"/>
      <c r="I170" s="205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</row>
    <row r="171" spans="1:54" ht="12.75">
      <c r="A171" s="222" t="s">
        <v>538</v>
      </c>
      <c r="B171" s="223"/>
      <c r="C171" s="223"/>
      <c r="D171" s="191"/>
      <c r="E171" s="148"/>
      <c r="F171" s="148"/>
      <c r="G171" s="148"/>
      <c r="H171" s="148"/>
      <c r="I171" s="209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</row>
    <row r="172" spans="1:54" ht="12.75">
      <c r="A172" s="160" t="s">
        <v>279</v>
      </c>
      <c r="B172" s="160"/>
      <c r="C172" s="264"/>
      <c r="D172" s="181"/>
      <c r="E172" s="265"/>
      <c r="F172" s="265"/>
      <c r="G172" s="188"/>
      <c r="H172" s="160"/>
      <c r="I172" s="19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</row>
    <row r="173" spans="1:54" ht="12.75">
      <c r="A173" s="160"/>
      <c r="B173" s="160"/>
      <c r="C173" s="181"/>
      <c r="D173" s="313" t="s">
        <v>280</v>
      </c>
      <c r="E173" s="313"/>
      <c r="F173" s="314"/>
      <c r="G173" s="243"/>
      <c r="H173" s="243"/>
      <c r="I173" s="189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</row>
    <row r="174" spans="1:54" ht="12.75">
      <c r="A174" s="160"/>
      <c r="B174" s="160"/>
      <c r="C174" s="181"/>
      <c r="D174" s="313" t="s">
        <v>531</v>
      </c>
      <c r="E174" s="313"/>
      <c r="F174" s="314"/>
      <c r="G174" s="243"/>
      <c r="H174" s="243"/>
      <c r="I174" s="189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</row>
    <row r="175" spans="1:54" ht="12.75">
      <c r="A175" s="160"/>
      <c r="B175" s="160"/>
      <c r="C175" s="264"/>
      <c r="D175" s="313" t="s">
        <v>539</v>
      </c>
      <c r="E175" s="313"/>
      <c r="F175" s="314"/>
      <c r="G175" s="243"/>
      <c r="H175" s="243"/>
      <c r="I175" s="189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</row>
    <row r="176" spans="1:54" ht="12.75">
      <c r="A176" s="160"/>
      <c r="B176" s="160"/>
      <c r="C176" s="160"/>
      <c r="D176" s="160"/>
      <c r="E176" s="160"/>
      <c r="F176" s="160"/>
      <c r="G176" s="160"/>
      <c r="H176" s="160"/>
      <c r="I176" s="16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</row>
    <row r="177" spans="1:54" ht="12.75">
      <c r="A177" s="160"/>
      <c r="B177" s="160"/>
      <c r="C177" s="160"/>
      <c r="D177" s="160"/>
      <c r="E177" s="160"/>
      <c r="F177" s="160"/>
      <c r="G177" s="160"/>
      <c r="H177" s="160"/>
      <c r="I177" s="16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 t="s">
        <v>519</v>
      </c>
      <c r="BA177" s="120"/>
      <c r="BB177" s="120"/>
    </row>
    <row r="178" spans="1:54" ht="12.75">
      <c r="A178" s="160"/>
      <c r="B178" s="160"/>
      <c r="C178" s="315"/>
      <c r="D178" s="316"/>
      <c r="E178" s="316"/>
      <c r="F178" s="180"/>
      <c r="G178" s="317"/>
      <c r="H178" s="160"/>
      <c r="I178" s="18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 t="s">
        <v>513</v>
      </c>
      <c r="BA178" s="120" t="s">
        <v>109</v>
      </c>
      <c r="BB178" s="120"/>
    </row>
    <row r="179" spans="1:54" ht="12.75">
      <c r="A179" s="243"/>
      <c r="B179" s="160"/>
      <c r="C179" s="315"/>
      <c r="D179" s="316"/>
      <c r="E179" s="316"/>
      <c r="F179" s="180"/>
      <c r="G179" s="317"/>
      <c r="H179" s="160"/>
      <c r="I179" s="18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 t="s">
        <v>510</v>
      </c>
      <c r="AZ179" s="301">
        <f>AZ183+AZ184+AZ185</f>
        <v>3065201</v>
      </c>
      <c r="BA179" s="370">
        <f>AZ179*2.9</f>
        <v>8889082.9</v>
      </c>
      <c r="BB179" s="120"/>
    </row>
    <row r="180" spans="1:54" ht="12.75">
      <c r="A180" s="160"/>
      <c r="B180" s="160"/>
      <c r="C180" s="160"/>
      <c r="D180" s="160"/>
      <c r="E180" s="160"/>
      <c r="F180" s="160"/>
      <c r="G180" s="160"/>
      <c r="H180" s="160"/>
      <c r="I180" s="16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 t="s">
        <v>511</v>
      </c>
      <c r="AZ180" s="301">
        <f>AZ187-AZ179-AZ181</f>
        <v>2891762</v>
      </c>
      <c r="BA180" s="370">
        <f>AZ180*2.9</f>
        <v>8386109.8</v>
      </c>
      <c r="BB180" s="120"/>
    </row>
    <row r="181" spans="1:54" ht="12.75">
      <c r="A181" s="160"/>
      <c r="B181" s="160"/>
      <c r="C181" s="160"/>
      <c r="D181" s="160"/>
      <c r="E181" s="160"/>
      <c r="F181" s="160"/>
      <c r="G181" s="160"/>
      <c r="H181" s="160"/>
      <c r="I181" s="16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 t="s">
        <v>512</v>
      </c>
      <c r="AZ181" s="301">
        <f>AZ186</f>
        <v>163780</v>
      </c>
      <c r="BA181" s="370">
        <f>AZ181*2.9</f>
        <v>474962</v>
      </c>
      <c r="BB181" s="120"/>
    </row>
    <row r="182" spans="52:53" ht="12.75">
      <c r="AZ182" s="368"/>
      <c r="BA182" s="368"/>
    </row>
    <row r="183" spans="51:53" ht="12.75">
      <c r="AY183" s="120" t="s">
        <v>514</v>
      </c>
      <c r="AZ183" s="369">
        <v>2742934</v>
      </c>
      <c r="BA183" s="368"/>
    </row>
    <row r="184" spans="51:53" ht="12.75">
      <c r="AY184" s="120" t="s">
        <v>515</v>
      </c>
      <c r="AZ184" s="369">
        <f>AZ95</f>
        <v>140414</v>
      </c>
      <c r="BA184" s="368"/>
    </row>
    <row r="185" spans="51:53" ht="12.75">
      <c r="AY185" s="120" t="s">
        <v>517</v>
      </c>
      <c r="AZ185" s="369">
        <v>181853</v>
      </c>
      <c r="BA185" s="368"/>
    </row>
    <row r="186" spans="51:53" ht="12.75">
      <c r="AY186" s="120" t="s">
        <v>518</v>
      </c>
      <c r="AZ186" s="369">
        <v>163780</v>
      </c>
      <c r="BA186" s="368"/>
    </row>
    <row r="187" spans="51:52" ht="12.75">
      <c r="AY187" s="120" t="s">
        <v>516</v>
      </c>
      <c r="AZ187" s="369">
        <f>AZ131</f>
        <v>6120743</v>
      </c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 t="s">
        <v>552</v>
      </c>
      <c r="C196" s="4"/>
      <c r="D196" s="380">
        <v>42297.69</v>
      </c>
      <c r="E196" s="380">
        <v>42311.2</v>
      </c>
      <c r="F196" s="380">
        <v>1800</v>
      </c>
      <c r="G196" s="380">
        <f>E196-D196</f>
        <v>13.509999999994761</v>
      </c>
      <c r="H196" s="380"/>
      <c r="I196" s="155">
        <f>ROUND(F196*G196+H196,0)</f>
        <v>24318</v>
      </c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2.75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2.75">
      <c r="A200" s="11"/>
      <c r="B200" s="11"/>
      <c r="C200" s="11"/>
      <c r="D200" s="11"/>
      <c r="E200" s="11"/>
      <c r="F200" s="11"/>
      <c r="G200" s="11"/>
      <c r="H200" s="11"/>
      <c r="I200" s="11"/>
    </row>
    <row r="201" spans="1:9" ht="12.75">
      <c r="A201" s="11"/>
      <c r="B201" s="11"/>
      <c r="C201" s="11"/>
      <c r="D201" s="11"/>
      <c r="E201" s="10"/>
      <c r="F201" s="10"/>
      <c r="G201" s="11"/>
      <c r="H201" s="11"/>
      <c r="I201" s="11"/>
    </row>
    <row r="202" spans="1:9" ht="12.75">
      <c r="A202" s="48"/>
      <c r="B202" s="48"/>
      <c r="C202" s="48"/>
      <c r="D202" s="48"/>
      <c r="E202" s="48"/>
      <c r="F202" s="48"/>
      <c r="G202" s="48"/>
      <c r="H202" s="48"/>
      <c r="I202" s="48"/>
    </row>
    <row r="203" spans="1:9" ht="12.75">
      <c r="A203" s="11"/>
      <c r="B203" s="11"/>
      <c r="C203" s="11"/>
      <c r="D203" s="11"/>
      <c r="E203" s="64"/>
      <c r="F203" s="64"/>
      <c r="G203" s="11"/>
      <c r="H203" s="11"/>
      <c r="I203" s="65"/>
    </row>
    <row r="204" spans="1:9" ht="12.75">
      <c r="A204" s="11"/>
      <c r="B204" s="11"/>
      <c r="C204" s="11"/>
      <c r="D204" s="66"/>
      <c r="E204" s="64"/>
      <c r="F204" s="11"/>
      <c r="G204" s="11"/>
      <c r="H204" s="11"/>
      <c r="I204" s="65"/>
    </row>
    <row r="205" spans="1:9" ht="12.75">
      <c r="A205" s="11"/>
      <c r="B205" s="11"/>
      <c r="C205" s="11"/>
      <c r="D205" s="11"/>
      <c r="E205" s="11"/>
      <c r="F205" s="11"/>
      <c r="G205" s="11"/>
      <c r="H205" s="11"/>
      <c r="I205" s="65"/>
    </row>
    <row r="206" spans="1:9" ht="12.75">
      <c r="A206" s="48"/>
      <c r="B206" s="11"/>
      <c r="C206" s="11"/>
      <c r="D206" s="11"/>
      <c r="E206" s="11"/>
      <c r="F206" s="11"/>
      <c r="G206" s="11"/>
      <c r="H206" s="11"/>
      <c r="I206" s="65"/>
    </row>
    <row r="207" spans="1:9" ht="12.75">
      <c r="A207" s="67"/>
      <c r="B207" s="67"/>
      <c r="C207" s="67"/>
      <c r="D207" s="67"/>
      <c r="E207" s="67"/>
      <c r="F207" s="67"/>
      <c r="G207" s="67"/>
      <c r="H207" s="67"/>
      <c r="I207" s="68"/>
    </row>
    <row r="208" spans="1:9" ht="12.75">
      <c r="A208" s="11"/>
      <c r="B208" s="11"/>
      <c r="C208" s="11"/>
      <c r="D208" s="11"/>
      <c r="E208" s="11"/>
      <c r="F208" s="11"/>
      <c r="G208" s="11"/>
      <c r="H208" s="11"/>
      <c r="I208" s="65"/>
    </row>
    <row r="209" spans="1:9" ht="12.75">
      <c r="A209" s="11"/>
      <c r="B209" s="11"/>
      <c r="C209" s="11"/>
      <c r="D209" s="11"/>
      <c r="E209" s="11"/>
      <c r="F209" s="11"/>
      <c r="G209" s="11"/>
      <c r="H209" s="11"/>
      <c r="I209" s="65"/>
    </row>
    <row r="210" spans="1:9" ht="12.75">
      <c r="A210" s="11"/>
      <c r="B210" s="11"/>
      <c r="C210" s="11"/>
      <c r="D210" s="11"/>
      <c r="E210" s="11"/>
      <c r="F210" s="11"/>
      <c r="G210" s="11"/>
      <c r="H210" s="11"/>
      <c r="I210" s="65"/>
    </row>
  </sheetData>
  <sheetProtection/>
  <printOptions/>
  <pageMargins left="0.7874015748031497" right="0.1968503937007874" top="0.1968503937007874" bottom="0.1968503937007874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10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25390625" style="0" customWidth="1"/>
    <col min="4" max="5" width="11.00390625" style="0" customWidth="1"/>
    <col min="6" max="6" width="9.375" style="0" customWidth="1"/>
    <col min="7" max="8" width="9.25390625" style="0" customWidth="1"/>
    <col min="9" max="9" width="12.25390625" style="0" customWidth="1"/>
    <col min="10" max="10" width="6.125" style="0" customWidth="1"/>
    <col min="11" max="11" width="36.375" style="0" customWidth="1"/>
    <col min="12" max="12" width="16.125" style="0" customWidth="1"/>
    <col min="13" max="14" width="11.125" style="0" customWidth="1"/>
    <col min="15" max="15" width="9.25390625" style="0" customWidth="1"/>
    <col min="16" max="16" width="9.625" style="0" customWidth="1"/>
    <col min="17" max="17" width="8.875" style="0" customWidth="1"/>
    <col min="18" max="18" width="14.125" style="0" customWidth="1"/>
    <col min="19" max="19" width="7.00390625" style="0" customWidth="1"/>
    <col min="21" max="21" width="13.00390625" style="0" customWidth="1"/>
    <col min="22" max="22" width="24.75390625" style="0" customWidth="1"/>
    <col min="23" max="23" width="13.125" style="0" customWidth="1"/>
    <col min="24" max="24" width="13.25390625" style="0" customWidth="1"/>
    <col min="25" max="25" width="12.375" style="0" customWidth="1"/>
    <col min="26" max="26" width="12.125" style="0" customWidth="1"/>
    <col min="27" max="27" width="12.75390625" style="0" customWidth="1"/>
    <col min="28" max="28" width="6.75390625" style="0" customWidth="1"/>
    <col min="29" max="29" width="10.75390625" style="0" customWidth="1"/>
    <col min="31" max="31" width="25.625" style="0" customWidth="1"/>
    <col min="32" max="32" width="13.75390625" style="0" customWidth="1"/>
    <col min="33" max="33" width="13.375" style="0" customWidth="1"/>
    <col min="34" max="34" width="13.00390625" style="0" customWidth="1"/>
    <col min="35" max="35" width="13.25390625" style="0" customWidth="1"/>
    <col min="36" max="36" width="12.75390625" style="0" customWidth="1"/>
    <col min="37" max="37" width="6.75390625" style="0" customWidth="1"/>
    <col min="40" max="40" width="24.375" style="0" customWidth="1"/>
    <col min="41" max="45" width="13.00390625" style="0" customWidth="1"/>
    <col min="51" max="51" width="24.75390625" style="0" customWidth="1"/>
    <col min="52" max="52" width="13.875" style="0" customWidth="1"/>
    <col min="53" max="53" width="14.00390625" style="0" customWidth="1"/>
    <col min="54" max="54" width="15.375" style="0" customWidth="1"/>
  </cols>
  <sheetData>
    <row r="1" spans="1:54" ht="12.7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60"/>
      <c r="T1" s="160"/>
      <c r="U1" s="160"/>
      <c r="V1" s="160"/>
      <c r="W1" s="160"/>
      <c r="X1" s="160"/>
      <c r="Y1" s="160"/>
      <c r="Z1" s="160"/>
      <c r="AA1" s="16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60"/>
      <c r="AU1" s="120"/>
      <c r="AV1" s="120"/>
      <c r="AW1" s="120"/>
      <c r="AX1" s="120"/>
      <c r="AY1" s="120"/>
      <c r="AZ1" s="120"/>
      <c r="BA1" s="120"/>
      <c r="BB1" s="120"/>
    </row>
    <row r="2" spans="1:54" ht="12.75">
      <c r="A2" s="120"/>
      <c r="B2" s="120"/>
      <c r="C2" s="120"/>
      <c r="D2" s="120" t="s">
        <v>192</v>
      </c>
      <c r="E2" s="120"/>
      <c r="F2" s="120"/>
      <c r="G2" s="120"/>
      <c r="H2" s="120"/>
      <c r="I2" s="120"/>
      <c r="J2" s="120"/>
      <c r="K2" s="120"/>
      <c r="L2" s="120"/>
      <c r="M2" s="120" t="s">
        <v>288</v>
      </c>
      <c r="N2" s="120"/>
      <c r="O2" s="120"/>
      <c r="P2" s="120"/>
      <c r="Q2" s="120"/>
      <c r="R2" s="120"/>
      <c r="S2" s="160"/>
      <c r="T2" s="160"/>
      <c r="U2" s="160"/>
      <c r="V2" s="160"/>
      <c r="W2" s="160"/>
      <c r="X2" s="160"/>
      <c r="Y2" s="160"/>
      <c r="Z2" s="160"/>
      <c r="AA2" s="160"/>
      <c r="AB2" s="120" t="s">
        <v>325</v>
      </c>
      <c r="AC2" s="120"/>
      <c r="AD2" s="120"/>
      <c r="AE2" s="120"/>
      <c r="AF2" s="120"/>
      <c r="AG2" s="120"/>
      <c r="AH2" s="120"/>
      <c r="AI2" s="120"/>
      <c r="AJ2" s="120"/>
      <c r="AK2" s="120" t="s">
        <v>325</v>
      </c>
      <c r="AL2" s="120"/>
      <c r="AM2" s="120"/>
      <c r="AN2" s="120"/>
      <c r="AO2" s="120"/>
      <c r="AP2" s="120"/>
      <c r="AQ2" s="120"/>
      <c r="AR2" s="120"/>
      <c r="AS2" s="120"/>
      <c r="AT2" s="160" t="s">
        <v>530</v>
      </c>
      <c r="AU2" s="120"/>
      <c r="AV2" s="120"/>
      <c r="AW2" s="120"/>
      <c r="AX2" s="120"/>
      <c r="AY2" s="120"/>
      <c r="AZ2" s="120"/>
      <c r="BA2" s="120"/>
      <c r="BB2" s="120"/>
    </row>
    <row r="3" spans="1:54" ht="12.75">
      <c r="A3" s="120"/>
      <c r="B3" s="120"/>
      <c r="C3" s="120"/>
      <c r="D3" s="120" t="s">
        <v>193</v>
      </c>
      <c r="E3" s="120"/>
      <c r="F3" s="120"/>
      <c r="G3" s="120"/>
      <c r="H3" s="120"/>
      <c r="I3" s="120"/>
      <c r="J3" s="120"/>
      <c r="K3" s="120"/>
      <c r="L3" s="120"/>
      <c r="M3" s="120" t="s">
        <v>289</v>
      </c>
      <c r="N3" s="120"/>
      <c r="O3" s="120"/>
      <c r="P3" s="120"/>
      <c r="Q3" s="120"/>
      <c r="R3" s="120"/>
      <c r="S3" s="120" t="s">
        <v>325</v>
      </c>
      <c r="T3" s="120"/>
      <c r="U3" s="120"/>
      <c r="V3" s="120"/>
      <c r="W3" s="120"/>
      <c r="X3" s="120"/>
      <c r="Y3" s="120"/>
      <c r="Z3" s="120"/>
      <c r="AA3" s="120"/>
      <c r="AB3" s="120" t="s">
        <v>324</v>
      </c>
      <c r="AC3" s="120"/>
      <c r="AD3" s="120"/>
      <c r="AE3" s="120"/>
      <c r="AF3" s="120"/>
      <c r="AG3" s="120"/>
      <c r="AH3" s="120"/>
      <c r="AI3" s="120"/>
      <c r="AJ3" s="120"/>
      <c r="AK3" s="120" t="s">
        <v>324</v>
      </c>
      <c r="AL3" s="120"/>
      <c r="AM3" s="120"/>
      <c r="AN3" s="120"/>
      <c r="AO3" s="120"/>
      <c r="AP3" s="120"/>
      <c r="AQ3" s="120"/>
      <c r="AR3" s="120"/>
      <c r="AS3" s="120"/>
      <c r="AT3" s="160" t="s">
        <v>532</v>
      </c>
      <c r="AU3" s="120"/>
      <c r="AV3" s="120"/>
      <c r="AW3" s="120"/>
      <c r="AX3" s="120"/>
      <c r="AY3" s="120"/>
      <c r="AZ3" s="120"/>
      <c r="BA3" s="120"/>
      <c r="BB3" s="120"/>
    </row>
    <row r="4" spans="1:54" ht="13.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 t="s">
        <v>324</v>
      </c>
      <c r="T4" s="120"/>
      <c r="U4" s="120"/>
      <c r="V4" s="120"/>
      <c r="W4" s="120"/>
      <c r="X4" s="120"/>
      <c r="Y4" s="120"/>
      <c r="Z4" s="120"/>
      <c r="AA4" s="120"/>
      <c r="AB4" s="120" t="s">
        <v>326</v>
      </c>
      <c r="AC4" s="120"/>
      <c r="AD4" s="120"/>
      <c r="AE4" s="120"/>
      <c r="AF4" s="120"/>
      <c r="AG4" s="120"/>
      <c r="AH4" s="120"/>
      <c r="AI4" s="120"/>
      <c r="AJ4" s="120"/>
      <c r="AK4" s="120" t="s">
        <v>326</v>
      </c>
      <c r="AL4" s="120"/>
      <c r="AM4" s="120"/>
      <c r="AN4" s="120"/>
      <c r="AO4" s="120"/>
      <c r="AP4" s="120"/>
      <c r="AQ4" s="120"/>
      <c r="AR4" s="120"/>
      <c r="AS4" s="120"/>
      <c r="AT4" s="160"/>
      <c r="AU4" s="120" t="s">
        <v>400</v>
      </c>
      <c r="AV4" s="120"/>
      <c r="AW4" s="120"/>
      <c r="AX4" s="120"/>
      <c r="AY4" s="254" t="s">
        <v>138</v>
      </c>
      <c r="AZ4" s="254" t="s">
        <v>555</v>
      </c>
      <c r="BA4" s="120"/>
      <c r="BB4" s="120"/>
    </row>
    <row r="5" spans="1:54" ht="12.75">
      <c r="A5" s="120"/>
      <c r="B5" s="120"/>
      <c r="C5" s="120" t="s">
        <v>194</v>
      </c>
      <c r="D5" s="120"/>
      <c r="E5" s="120"/>
      <c r="F5" s="120"/>
      <c r="G5" s="120"/>
      <c r="H5" s="120"/>
      <c r="I5" s="120"/>
      <c r="J5" s="120"/>
      <c r="K5" s="120"/>
      <c r="L5" s="120" t="s">
        <v>194</v>
      </c>
      <c r="M5" s="120"/>
      <c r="N5" s="120"/>
      <c r="O5" s="120"/>
      <c r="P5" s="120"/>
      <c r="Q5" s="120"/>
      <c r="R5" s="120"/>
      <c r="S5" s="120" t="s">
        <v>326</v>
      </c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45"/>
      <c r="AU5" s="146" t="s">
        <v>405</v>
      </c>
      <c r="AV5" s="146"/>
      <c r="AW5" s="146"/>
      <c r="AX5" s="146"/>
      <c r="AY5" s="146"/>
      <c r="AZ5" s="145" t="s">
        <v>406</v>
      </c>
      <c r="BA5" s="145" t="s">
        <v>407</v>
      </c>
      <c r="BB5" s="143" t="s">
        <v>364</v>
      </c>
    </row>
    <row r="6" spans="1:54" ht="12.75">
      <c r="A6" s="120"/>
      <c r="B6" s="120"/>
      <c r="C6" s="120"/>
      <c r="D6" s="277" t="s">
        <v>578</v>
      </c>
      <c r="E6" s="277"/>
      <c r="F6" s="120"/>
      <c r="G6" s="120"/>
      <c r="H6" s="120"/>
      <c r="I6" s="120"/>
      <c r="J6" s="120"/>
      <c r="K6" s="120"/>
      <c r="L6" s="120"/>
      <c r="M6" s="277" t="s">
        <v>578</v>
      </c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59"/>
      <c r="AU6" s="160"/>
      <c r="AV6" s="160"/>
      <c r="AW6" s="160"/>
      <c r="AX6" s="160"/>
      <c r="AY6" s="160"/>
      <c r="AZ6" s="159" t="s">
        <v>413</v>
      </c>
      <c r="BA6" s="159" t="s">
        <v>177</v>
      </c>
      <c r="BB6" s="173" t="s">
        <v>80</v>
      </c>
    </row>
    <row r="7" spans="1:54" ht="12.75">
      <c r="A7" s="120" t="s">
        <v>528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59"/>
      <c r="AU7" s="160"/>
      <c r="AV7" s="160"/>
      <c r="AW7" s="160"/>
      <c r="AX7" s="160"/>
      <c r="AY7" s="160"/>
      <c r="AZ7" s="103" t="s">
        <v>178</v>
      </c>
      <c r="BA7" s="103"/>
      <c r="BB7" s="144" t="s">
        <v>81</v>
      </c>
    </row>
    <row r="8" spans="1:54" ht="12.75">
      <c r="A8" s="120" t="s">
        <v>196</v>
      </c>
      <c r="B8" s="120"/>
      <c r="C8" s="120"/>
      <c r="D8" s="120"/>
      <c r="E8" s="120"/>
      <c r="F8" s="120"/>
      <c r="G8" s="120"/>
      <c r="H8" s="120"/>
      <c r="I8" s="120"/>
      <c r="J8" s="120" t="s">
        <v>528</v>
      </c>
      <c r="K8" s="120"/>
      <c r="L8" s="120"/>
      <c r="M8" s="120"/>
      <c r="N8" s="120"/>
      <c r="O8" s="120"/>
      <c r="P8" s="120"/>
      <c r="Q8" s="120"/>
      <c r="R8" s="120"/>
      <c r="S8" s="120" t="s">
        <v>357</v>
      </c>
      <c r="T8" s="120"/>
      <c r="U8" s="120"/>
      <c r="V8" s="120"/>
      <c r="W8" s="120"/>
      <c r="X8" s="120"/>
      <c r="Y8" s="120"/>
      <c r="Z8" s="120"/>
      <c r="AA8" s="120"/>
      <c r="AB8" s="120" t="s">
        <v>357</v>
      </c>
      <c r="AC8" s="120"/>
      <c r="AD8" s="120"/>
      <c r="AE8" s="120"/>
      <c r="AF8" s="120"/>
      <c r="AG8" s="120"/>
      <c r="AH8" s="120"/>
      <c r="AI8" s="120"/>
      <c r="AJ8" s="120"/>
      <c r="AK8" s="120" t="s">
        <v>357</v>
      </c>
      <c r="AL8" s="120"/>
      <c r="AM8" s="120"/>
      <c r="AN8" s="120"/>
      <c r="AO8" s="120"/>
      <c r="AP8" s="120"/>
      <c r="AQ8" s="120"/>
      <c r="AR8" s="120"/>
      <c r="AS8" s="120"/>
      <c r="AT8" s="145" t="s">
        <v>45</v>
      </c>
      <c r="AU8" s="146"/>
      <c r="AV8" s="146"/>
      <c r="AW8" s="146"/>
      <c r="AX8" s="146"/>
      <c r="AY8" s="147"/>
      <c r="AZ8" s="187">
        <f>I16+I17+I20+I22+I77</f>
        <v>8921110.999999998</v>
      </c>
      <c r="BA8" s="278"/>
      <c r="BB8" s="279">
        <f>BB9+BB14</f>
        <v>20795258.882857997</v>
      </c>
    </row>
    <row r="9" spans="1:54" ht="12.75">
      <c r="A9" s="120" t="s">
        <v>198</v>
      </c>
      <c r="B9" s="120"/>
      <c r="C9" s="120"/>
      <c r="D9" s="120"/>
      <c r="E9" s="120"/>
      <c r="F9" s="120" t="s">
        <v>197</v>
      </c>
      <c r="G9" s="120"/>
      <c r="H9" s="120"/>
      <c r="I9" s="120"/>
      <c r="J9" s="120" t="s">
        <v>196</v>
      </c>
      <c r="K9" s="120"/>
      <c r="L9" s="120"/>
      <c r="M9" s="120"/>
      <c r="N9" s="120"/>
      <c r="O9" s="120" t="s">
        <v>197</v>
      </c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255" t="s">
        <v>383</v>
      </c>
      <c r="AU9" s="256"/>
      <c r="AV9" s="256"/>
      <c r="AW9" s="256"/>
      <c r="AX9" s="146"/>
      <c r="AY9" s="147"/>
      <c r="AZ9" s="280">
        <f>AZ11+AZ12</f>
        <v>5549135</v>
      </c>
      <c r="BA9" s="281">
        <f>(BB12+BB11)/AZ9</f>
        <v>3.747224014337369</v>
      </c>
      <c r="BB9" s="279">
        <f>BB10+BB11+BB12+BB13</f>
        <v>20793851.9308</v>
      </c>
    </row>
    <row r="10" spans="1:54" ht="12.75">
      <c r="A10" s="143" t="s">
        <v>335</v>
      </c>
      <c r="B10" s="171" t="s">
        <v>199</v>
      </c>
      <c r="C10" s="143" t="s">
        <v>200</v>
      </c>
      <c r="D10" s="224" t="s">
        <v>286</v>
      </c>
      <c r="E10" s="225"/>
      <c r="F10" s="143" t="s">
        <v>201</v>
      </c>
      <c r="G10" s="143" t="s">
        <v>404</v>
      </c>
      <c r="H10" s="143" t="s">
        <v>202</v>
      </c>
      <c r="I10" s="143" t="s">
        <v>191</v>
      </c>
      <c r="J10" s="120" t="s">
        <v>198</v>
      </c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277" t="s">
        <v>579</v>
      </c>
      <c r="Z10" s="120"/>
      <c r="AA10" s="120"/>
      <c r="AB10" s="120"/>
      <c r="AC10" s="120"/>
      <c r="AD10" s="120"/>
      <c r="AE10" s="120"/>
      <c r="AF10" s="120"/>
      <c r="AG10" s="120"/>
      <c r="AH10" s="277" t="s">
        <v>579</v>
      </c>
      <c r="AI10" s="120"/>
      <c r="AJ10" s="120"/>
      <c r="AK10" s="120"/>
      <c r="AL10" s="120"/>
      <c r="AM10" s="120"/>
      <c r="AN10" s="120"/>
      <c r="AO10" s="120"/>
      <c r="AP10" s="120"/>
      <c r="AQ10" s="277" t="s">
        <v>579</v>
      </c>
      <c r="AR10" s="120"/>
      <c r="AS10" s="120"/>
      <c r="AT10" s="145" t="s">
        <v>179</v>
      </c>
      <c r="AU10" s="146"/>
      <c r="AV10" s="146"/>
      <c r="AW10" s="146"/>
      <c r="AX10" s="146"/>
      <c r="AY10" s="147"/>
      <c r="AZ10" s="282"/>
      <c r="BA10" s="283">
        <v>0</v>
      </c>
      <c r="BB10" s="284">
        <f>AZ10*BA10</f>
        <v>0</v>
      </c>
    </row>
    <row r="11" spans="1:54" ht="12.75">
      <c r="A11" s="173"/>
      <c r="B11" s="173"/>
      <c r="C11" s="173"/>
      <c r="D11" s="143" t="s">
        <v>203</v>
      </c>
      <c r="E11" s="145" t="s">
        <v>204</v>
      </c>
      <c r="F11" s="173" t="s">
        <v>205</v>
      </c>
      <c r="G11" s="173" t="s">
        <v>190</v>
      </c>
      <c r="H11" s="173"/>
      <c r="I11" s="173" t="s">
        <v>206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45" t="s">
        <v>180</v>
      </c>
      <c r="AU11" s="146"/>
      <c r="AV11" s="146"/>
      <c r="AW11" s="146"/>
      <c r="AX11" s="146"/>
      <c r="AY11" s="147"/>
      <c r="AZ11" s="155">
        <f>I81+I73</f>
        <v>2155</v>
      </c>
      <c r="BA11" s="285">
        <v>5.4564</v>
      </c>
      <c r="BB11" s="284">
        <f>AZ11*BA11</f>
        <v>11758.542000000001</v>
      </c>
    </row>
    <row r="12" spans="1:54" ht="12.75">
      <c r="A12" s="144"/>
      <c r="B12" s="144"/>
      <c r="C12" s="144"/>
      <c r="D12" s="144" t="s">
        <v>207</v>
      </c>
      <c r="E12" s="103" t="s">
        <v>207</v>
      </c>
      <c r="F12" s="144" t="s">
        <v>208</v>
      </c>
      <c r="G12" s="144"/>
      <c r="H12" s="144"/>
      <c r="I12" s="144"/>
      <c r="J12" s="143" t="s">
        <v>335</v>
      </c>
      <c r="K12" s="171" t="s">
        <v>199</v>
      </c>
      <c r="L12" s="143" t="s">
        <v>200</v>
      </c>
      <c r="M12" s="224" t="s">
        <v>464</v>
      </c>
      <c r="N12" s="225"/>
      <c r="O12" s="143" t="s">
        <v>201</v>
      </c>
      <c r="P12" s="143" t="s">
        <v>404</v>
      </c>
      <c r="Q12" s="143" t="s">
        <v>202</v>
      </c>
      <c r="R12" s="143" t="s">
        <v>191</v>
      </c>
      <c r="S12" s="143" t="s">
        <v>335</v>
      </c>
      <c r="T12" s="145" t="s">
        <v>336</v>
      </c>
      <c r="U12" s="146"/>
      <c r="V12" s="147"/>
      <c r="W12" s="102" t="s">
        <v>337</v>
      </c>
      <c r="X12" s="150"/>
      <c r="Y12" s="150"/>
      <c r="Z12" s="150"/>
      <c r="AA12" s="151"/>
      <c r="AB12" s="143" t="s">
        <v>335</v>
      </c>
      <c r="AC12" s="145" t="s">
        <v>336</v>
      </c>
      <c r="AD12" s="146"/>
      <c r="AE12" s="147"/>
      <c r="AF12" s="102" t="s">
        <v>337</v>
      </c>
      <c r="AG12" s="150"/>
      <c r="AH12" s="150"/>
      <c r="AI12" s="150"/>
      <c r="AJ12" s="151"/>
      <c r="AK12" s="143" t="s">
        <v>335</v>
      </c>
      <c r="AL12" s="145" t="s">
        <v>336</v>
      </c>
      <c r="AM12" s="146"/>
      <c r="AN12" s="147"/>
      <c r="AO12" s="102" t="s">
        <v>337</v>
      </c>
      <c r="AP12" s="150"/>
      <c r="AQ12" s="150"/>
      <c r="AR12" s="150"/>
      <c r="AS12" s="151"/>
      <c r="AT12" s="145" t="s">
        <v>181</v>
      </c>
      <c r="AU12" s="146"/>
      <c r="AV12" s="146"/>
      <c r="AW12" s="146"/>
      <c r="AX12" s="146"/>
      <c r="AY12" s="147"/>
      <c r="AZ12" s="280">
        <f>I75</f>
        <v>5546980</v>
      </c>
      <c r="BA12" s="286">
        <v>3.74656</v>
      </c>
      <c r="BB12" s="284">
        <f>AZ12*BA12</f>
        <v>20782093.3888</v>
      </c>
    </row>
    <row r="13" spans="1:54" ht="12.75">
      <c r="A13" s="152">
        <v>1</v>
      </c>
      <c r="B13" s="152">
        <v>2</v>
      </c>
      <c r="C13" s="152">
        <v>3</v>
      </c>
      <c r="D13" s="152">
        <v>4</v>
      </c>
      <c r="E13" s="152">
        <v>5</v>
      </c>
      <c r="F13" s="152">
        <v>6</v>
      </c>
      <c r="G13" s="152">
        <v>7</v>
      </c>
      <c r="H13" s="152">
        <v>8</v>
      </c>
      <c r="I13" s="152">
        <v>9</v>
      </c>
      <c r="J13" s="173"/>
      <c r="K13" s="173"/>
      <c r="L13" s="173"/>
      <c r="M13" s="143" t="s">
        <v>203</v>
      </c>
      <c r="N13" s="145" t="s">
        <v>204</v>
      </c>
      <c r="O13" s="173" t="s">
        <v>205</v>
      </c>
      <c r="P13" s="173" t="s">
        <v>190</v>
      </c>
      <c r="Q13" s="173"/>
      <c r="R13" s="173" t="s">
        <v>206</v>
      </c>
      <c r="S13" s="144"/>
      <c r="T13" s="103"/>
      <c r="U13" s="148"/>
      <c r="V13" s="149"/>
      <c r="W13" s="152" t="s">
        <v>338</v>
      </c>
      <c r="X13" s="152" t="s">
        <v>339</v>
      </c>
      <c r="Y13" s="152" t="s">
        <v>340</v>
      </c>
      <c r="Z13" s="152" t="s">
        <v>341</v>
      </c>
      <c r="AA13" s="152" t="s">
        <v>342</v>
      </c>
      <c r="AB13" s="144"/>
      <c r="AC13" s="103"/>
      <c r="AD13" s="148"/>
      <c r="AE13" s="149"/>
      <c r="AF13" s="152" t="s">
        <v>338</v>
      </c>
      <c r="AG13" s="152" t="s">
        <v>339</v>
      </c>
      <c r="AH13" s="152" t="s">
        <v>340</v>
      </c>
      <c r="AI13" s="152" t="s">
        <v>341</v>
      </c>
      <c r="AJ13" s="152" t="s">
        <v>342</v>
      </c>
      <c r="AK13" s="144"/>
      <c r="AL13" s="103"/>
      <c r="AM13" s="148"/>
      <c r="AN13" s="149"/>
      <c r="AO13" s="152" t="s">
        <v>338</v>
      </c>
      <c r="AP13" s="152" t="s">
        <v>339</v>
      </c>
      <c r="AQ13" s="152" t="s">
        <v>340</v>
      </c>
      <c r="AR13" s="152" t="s">
        <v>341</v>
      </c>
      <c r="AS13" s="152" t="s">
        <v>342</v>
      </c>
      <c r="AT13" s="102" t="s">
        <v>173</v>
      </c>
      <c r="AU13" s="150"/>
      <c r="AV13" s="150"/>
      <c r="AW13" s="150"/>
      <c r="AX13" s="150"/>
      <c r="AY13" s="151"/>
      <c r="AZ13" s="280"/>
      <c r="BA13" s="257"/>
      <c r="BB13" s="284">
        <f>BA13*AZ13</f>
        <v>0</v>
      </c>
    </row>
    <row r="14" spans="1:54" ht="12.75">
      <c r="A14" s="103"/>
      <c r="B14" s="148"/>
      <c r="C14" s="320" t="s">
        <v>209</v>
      </c>
      <c r="D14" s="320"/>
      <c r="E14" s="148"/>
      <c r="F14" s="148"/>
      <c r="G14" s="148"/>
      <c r="H14" s="148"/>
      <c r="I14" s="149"/>
      <c r="J14" s="144"/>
      <c r="K14" s="144"/>
      <c r="L14" s="144"/>
      <c r="M14" s="144" t="s">
        <v>207</v>
      </c>
      <c r="N14" s="103" t="s">
        <v>207</v>
      </c>
      <c r="O14" s="144" t="s">
        <v>208</v>
      </c>
      <c r="P14" s="144"/>
      <c r="Q14" s="144"/>
      <c r="R14" s="144"/>
      <c r="S14" s="152">
        <v>1</v>
      </c>
      <c r="T14" s="96" t="s">
        <v>159</v>
      </c>
      <c r="U14" s="96"/>
      <c r="V14" s="96"/>
      <c r="W14" s="155">
        <f aca="true" t="shared" si="0" ref="W14:W25">SUM(X14:AA14)</f>
        <v>3074900</v>
      </c>
      <c r="X14" s="155">
        <f>SUM(X15:X26)</f>
        <v>2733100</v>
      </c>
      <c r="Y14" s="155">
        <f>SUM(Y15:Y27)</f>
        <v>0</v>
      </c>
      <c r="Z14" s="155">
        <f>SUM(Z15:Z26)</f>
        <v>341800</v>
      </c>
      <c r="AA14" s="152">
        <f>SUM(AA15:AA27)</f>
        <v>0</v>
      </c>
      <c r="AB14" s="152"/>
      <c r="AC14" s="96" t="s">
        <v>136</v>
      </c>
      <c r="AD14" s="96"/>
      <c r="AE14" s="96"/>
      <c r="AF14" s="163">
        <f>SUM(AG14:AJ14)</f>
        <v>228765</v>
      </c>
      <c r="AG14" s="155">
        <f>SUM(AG16:AG22)</f>
        <v>224263</v>
      </c>
      <c r="AH14" s="155">
        <f>SUM(AH16:AH22)</f>
        <v>0</v>
      </c>
      <c r="AI14" s="155">
        <f>SUM(AI16:AI22)</f>
        <v>4502</v>
      </c>
      <c r="AJ14" s="152">
        <f>SUM(AJ16:AJ22)</f>
        <v>0</v>
      </c>
      <c r="AK14" s="171">
        <v>1</v>
      </c>
      <c r="AL14" s="143" t="s">
        <v>136</v>
      </c>
      <c r="AM14" s="143"/>
      <c r="AN14" s="143"/>
      <c r="AO14" s="175">
        <f>SUM(AP14:AS14)</f>
        <v>68016</v>
      </c>
      <c r="AP14" s="175">
        <f>SUM(AP16:AP17)</f>
        <v>0</v>
      </c>
      <c r="AQ14" s="175">
        <f>SUM(AQ16:AQ17)</f>
        <v>0</v>
      </c>
      <c r="AR14" s="175">
        <f>ROUND(SUM(AR16:AR20),0)</f>
        <v>68016</v>
      </c>
      <c r="AS14" s="171">
        <f>SUM(AS16:AS17)</f>
        <v>0</v>
      </c>
      <c r="AT14" s="144" t="s">
        <v>423</v>
      </c>
      <c r="AU14" s="144"/>
      <c r="AV14" s="144"/>
      <c r="AW14" s="144"/>
      <c r="AX14" s="144"/>
      <c r="AY14" s="144"/>
      <c r="AZ14" s="280">
        <f>SUM(AZ15:AZ21)</f>
        <v>470</v>
      </c>
      <c r="BA14" s="287"/>
      <c r="BB14" s="284">
        <f>SUM(BB15:BB21)</f>
        <v>1406.9520579999999</v>
      </c>
    </row>
    <row r="15" spans="1:54" ht="12.75">
      <c r="A15" s="103"/>
      <c r="B15" s="102" t="s">
        <v>520</v>
      </c>
      <c r="C15" s="320"/>
      <c r="D15" s="320"/>
      <c r="E15" s="148"/>
      <c r="F15" s="148"/>
      <c r="G15" s="148"/>
      <c r="H15" s="148"/>
      <c r="I15" s="149"/>
      <c r="J15" s="152">
        <v>1</v>
      </c>
      <c r="K15" s="152">
        <v>2</v>
      </c>
      <c r="L15" s="152">
        <v>3</v>
      </c>
      <c r="M15" s="152">
        <v>4</v>
      </c>
      <c r="N15" s="152">
        <v>5</v>
      </c>
      <c r="O15" s="152">
        <v>6</v>
      </c>
      <c r="P15" s="152">
        <v>7</v>
      </c>
      <c r="Q15" s="152">
        <v>8</v>
      </c>
      <c r="R15" s="152">
        <v>9</v>
      </c>
      <c r="S15" s="170" t="s">
        <v>145</v>
      </c>
      <c r="T15" s="145" t="s">
        <v>121</v>
      </c>
      <c r="U15" s="146"/>
      <c r="V15" s="146"/>
      <c r="W15" s="163">
        <f t="shared" si="0"/>
        <v>1684723</v>
      </c>
      <c r="X15" s="193">
        <f>ROUND(I20,0)</f>
        <v>1684723</v>
      </c>
      <c r="Y15" s="171">
        <v>0</v>
      </c>
      <c r="Z15" s="171">
        <v>0</v>
      </c>
      <c r="AA15" s="171">
        <v>0</v>
      </c>
      <c r="AB15" s="171">
        <v>1</v>
      </c>
      <c r="AC15" s="145" t="s">
        <v>543</v>
      </c>
      <c r="AD15" s="146"/>
      <c r="AE15" s="147"/>
      <c r="AF15" s="162"/>
      <c r="AG15" s="165"/>
      <c r="AH15" s="165"/>
      <c r="AI15" s="165"/>
      <c r="AJ15" s="303"/>
      <c r="AK15" s="319"/>
      <c r="AL15" s="145" t="s">
        <v>545</v>
      </c>
      <c r="AM15" s="146"/>
      <c r="AN15" s="147"/>
      <c r="AO15" s="175"/>
      <c r="AP15" s="171"/>
      <c r="AQ15" s="171"/>
      <c r="AR15" s="175"/>
      <c r="AS15" s="171"/>
      <c r="AT15" s="147" t="s">
        <v>174</v>
      </c>
      <c r="AU15" s="143"/>
      <c r="AV15" s="143"/>
      <c r="AW15" s="143"/>
      <c r="AX15" s="143"/>
      <c r="AY15" s="143"/>
      <c r="AZ15" s="155">
        <f>AS57-AZ16</f>
        <v>0</v>
      </c>
      <c r="BA15" s="288"/>
      <c r="BB15" s="284">
        <f>AZ15*BA15</f>
        <v>0</v>
      </c>
    </row>
    <row r="16" spans="1:54" ht="12.75">
      <c r="A16" s="171">
        <v>1</v>
      </c>
      <c r="B16" s="143" t="s">
        <v>249</v>
      </c>
      <c r="C16" s="197">
        <v>804152757</v>
      </c>
      <c r="D16" s="230">
        <v>4316.4808</v>
      </c>
      <c r="E16" s="230">
        <v>4403.25</v>
      </c>
      <c r="F16" s="155">
        <v>36000</v>
      </c>
      <c r="G16" s="252">
        <f>E16-D16</f>
        <v>86.76919999999973</v>
      </c>
      <c r="H16" s="96"/>
      <c r="I16" s="155">
        <f>ROUND((F16*G16+H16),0)</f>
        <v>3123691</v>
      </c>
      <c r="J16" s="103"/>
      <c r="K16" s="148"/>
      <c r="L16" s="148" t="s">
        <v>209</v>
      </c>
      <c r="M16" s="148"/>
      <c r="N16" s="148"/>
      <c r="O16" s="148"/>
      <c r="P16" s="148"/>
      <c r="Q16" s="148"/>
      <c r="R16" s="149"/>
      <c r="S16" s="157" t="s">
        <v>146</v>
      </c>
      <c r="T16" s="159" t="s">
        <v>122</v>
      </c>
      <c r="U16" s="160"/>
      <c r="V16" s="160"/>
      <c r="W16" s="163">
        <f t="shared" si="0"/>
        <v>0</v>
      </c>
      <c r="X16" s="186">
        <f>ROUND(I27,0)</f>
        <v>0</v>
      </c>
      <c r="Y16" s="168">
        <v>0</v>
      </c>
      <c r="Z16" s="163">
        <v>0</v>
      </c>
      <c r="AA16" s="168">
        <v>0</v>
      </c>
      <c r="AB16" s="157" t="s">
        <v>145</v>
      </c>
      <c r="AC16" s="159" t="s">
        <v>343</v>
      </c>
      <c r="AD16" s="160"/>
      <c r="AE16" s="161"/>
      <c r="AF16" s="163">
        <f>AG16+AH16+AI16+AJ16</f>
        <v>224263</v>
      </c>
      <c r="AG16" s="163">
        <v>224263</v>
      </c>
      <c r="AH16" s="168">
        <v>0</v>
      </c>
      <c r="AI16" s="163">
        <v>0</v>
      </c>
      <c r="AJ16" s="192">
        <v>0</v>
      </c>
      <c r="AK16" s="157" t="s">
        <v>145</v>
      </c>
      <c r="AL16" s="159" t="s">
        <v>84</v>
      </c>
      <c r="AM16" s="160"/>
      <c r="AN16" s="161"/>
      <c r="AO16" s="163">
        <f>AP16+AQ16+AR16+AS16</f>
        <v>382</v>
      </c>
      <c r="AP16" s="168">
        <v>0</v>
      </c>
      <c r="AQ16" s="168">
        <v>0</v>
      </c>
      <c r="AR16" s="163">
        <v>382</v>
      </c>
      <c r="AS16" s="168">
        <v>0</v>
      </c>
      <c r="AT16" s="147" t="s">
        <v>174</v>
      </c>
      <c r="AU16" s="143"/>
      <c r="AV16" s="143"/>
      <c r="AW16" s="143"/>
      <c r="AX16" s="143"/>
      <c r="AY16" s="143"/>
      <c r="AZ16" s="155">
        <f>AS57/100*80</f>
        <v>0</v>
      </c>
      <c r="BA16" s="289"/>
      <c r="BB16" s="284">
        <f>AZ16*BA16</f>
        <v>0</v>
      </c>
    </row>
    <row r="17" spans="1:54" ht="12.75">
      <c r="A17" s="144"/>
      <c r="B17" s="103" t="s">
        <v>250</v>
      </c>
      <c r="C17" s="213">
        <v>109054169</v>
      </c>
      <c r="D17" s="230">
        <v>6721.8924</v>
      </c>
      <c r="E17" s="230">
        <v>6834.2314</v>
      </c>
      <c r="F17" s="155">
        <v>36000</v>
      </c>
      <c r="G17" s="252">
        <f>E17-D17</f>
        <v>112.33899999999994</v>
      </c>
      <c r="H17" s="96"/>
      <c r="I17" s="155">
        <f>F17*G17+H17</f>
        <v>4044203.999999998</v>
      </c>
      <c r="J17" s="96"/>
      <c r="K17" s="102" t="s">
        <v>210</v>
      </c>
      <c r="L17" s="150"/>
      <c r="M17" s="150"/>
      <c r="N17" s="150"/>
      <c r="O17" s="150"/>
      <c r="P17" s="150"/>
      <c r="Q17" s="150"/>
      <c r="R17" s="151"/>
      <c r="S17" s="157" t="s">
        <v>147</v>
      </c>
      <c r="T17" s="159" t="s">
        <v>123</v>
      </c>
      <c r="U17" s="160"/>
      <c r="V17" s="160"/>
      <c r="W17" s="163">
        <f t="shared" si="0"/>
        <v>271245</v>
      </c>
      <c r="X17" s="186">
        <f>ROUND(I29,0)</f>
        <v>271245</v>
      </c>
      <c r="Y17" s="168">
        <v>0</v>
      </c>
      <c r="Z17" s="163">
        <v>0</v>
      </c>
      <c r="AA17" s="168">
        <v>0</v>
      </c>
      <c r="AB17" s="157" t="s">
        <v>146</v>
      </c>
      <c r="AC17" s="159" t="s">
        <v>172</v>
      </c>
      <c r="AD17" s="160"/>
      <c r="AE17" s="161"/>
      <c r="AF17" s="163">
        <f>AG17+AH17+AI17+AJ17</f>
        <v>1873</v>
      </c>
      <c r="AG17" s="168">
        <v>0</v>
      </c>
      <c r="AH17" s="168">
        <v>0</v>
      </c>
      <c r="AI17" s="163">
        <v>1873</v>
      </c>
      <c r="AJ17" s="192">
        <v>0</v>
      </c>
      <c r="AK17" s="157" t="s">
        <v>146</v>
      </c>
      <c r="AL17" s="159" t="s">
        <v>277</v>
      </c>
      <c r="AM17" s="160"/>
      <c r="AN17" s="161"/>
      <c r="AO17" s="163">
        <f>AP17+AQ17+AR17+AS17</f>
        <v>6326</v>
      </c>
      <c r="AP17" s="168">
        <v>0</v>
      </c>
      <c r="AQ17" s="168">
        <v>0</v>
      </c>
      <c r="AR17" s="163">
        <v>6326</v>
      </c>
      <c r="AS17" s="168">
        <v>0</v>
      </c>
      <c r="AT17" s="146" t="s">
        <v>141</v>
      </c>
      <c r="AU17" s="146"/>
      <c r="AV17" s="146"/>
      <c r="AW17" s="146"/>
      <c r="AX17" s="146"/>
      <c r="AY17" s="147"/>
      <c r="AZ17" s="280">
        <f>R21</f>
        <v>260</v>
      </c>
      <c r="BA17" s="290">
        <v>2.7083333</v>
      </c>
      <c r="BB17" s="284">
        <f>AZ17*BA17</f>
        <v>704.166658</v>
      </c>
    </row>
    <row r="18" spans="1:54" ht="12.75">
      <c r="A18" s="102"/>
      <c r="B18" s="150"/>
      <c r="C18" s="148"/>
      <c r="D18" s="150"/>
      <c r="E18" s="150"/>
      <c r="F18" s="214" t="s">
        <v>212</v>
      </c>
      <c r="G18" s="150"/>
      <c r="H18" s="151"/>
      <c r="I18" s="155">
        <f>ROUND((I16+I17+I22),0)</f>
        <v>7234233</v>
      </c>
      <c r="J18" s="152">
        <v>1</v>
      </c>
      <c r="K18" s="102" t="s">
        <v>211</v>
      </c>
      <c r="L18" s="150"/>
      <c r="M18" s="150"/>
      <c r="N18" s="150"/>
      <c r="O18" s="150"/>
      <c r="P18" s="150"/>
      <c r="Q18" s="150"/>
      <c r="R18" s="151"/>
      <c r="S18" s="157" t="s">
        <v>148</v>
      </c>
      <c r="T18" s="159" t="s">
        <v>124</v>
      </c>
      <c r="U18" s="160"/>
      <c r="V18" s="160"/>
      <c r="W18" s="163">
        <f t="shared" si="0"/>
        <v>127561</v>
      </c>
      <c r="X18" s="186">
        <f>ROUND(I31,0)</f>
        <v>127561</v>
      </c>
      <c r="Y18" s="168">
        <v>0</v>
      </c>
      <c r="Z18" s="163">
        <v>0</v>
      </c>
      <c r="AA18" s="168">
        <v>0</v>
      </c>
      <c r="AB18" s="158" t="s">
        <v>147</v>
      </c>
      <c r="AC18" s="148" t="s">
        <v>156</v>
      </c>
      <c r="AD18" s="148"/>
      <c r="AE18" s="148"/>
      <c r="AF18" s="164">
        <f>AG18+AH18+AI18+AJ18</f>
        <v>2629</v>
      </c>
      <c r="AG18" s="169">
        <v>0</v>
      </c>
      <c r="AH18" s="169">
        <v>0</v>
      </c>
      <c r="AI18" s="164">
        <v>2629</v>
      </c>
      <c r="AJ18" s="318">
        <v>0</v>
      </c>
      <c r="AK18" s="157" t="s">
        <v>147</v>
      </c>
      <c r="AL18" s="159" t="s">
        <v>135</v>
      </c>
      <c r="AM18" s="160"/>
      <c r="AN18" s="161"/>
      <c r="AO18" s="163">
        <f>AP18+AQ18+AR18+AS18</f>
        <v>49318</v>
      </c>
      <c r="AP18" s="168">
        <v>0</v>
      </c>
      <c r="AQ18" s="168">
        <v>0</v>
      </c>
      <c r="AR18" s="163">
        <v>49318</v>
      </c>
      <c r="AS18" s="168">
        <v>0</v>
      </c>
      <c r="AT18" s="146" t="s">
        <v>142</v>
      </c>
      <c r="AU18" s="146"/>
      <c r="AV18" s="146"/>
      <c r="AW18" s="146"/>
      <c r="AX18" s="146"/>
      <c r="AY18" s="147"/>
      <c r="AZ18" s="280">
        <f>R22</f>
        <v>120</v>
      </c>
      <c r="BA18" s="290">
        <v>1.28333</v>
      </c>
      <c r="BB18" s="284">
        <f>AZ18*BA18</f>
        <v>153.99960000000002</v>
      </c>
    </row>
    <row r="19" spans="1:54" ht="12.75">
      <c r="A19" s="96" t="s">
        <v>213</v>
      </c>
      <c r="B19" s="102" t="s">
        <v>466</v>
      </c>
      <c r="C19" s="150"/>
      <c r="D19" s="150"/>
      <c r="E19" s="150"/>
      <c r="F19" s="150"/>
      <c r="G19" s="150"/>
      <c r="H19" s="150"/>
      <c r="I19" s="151"/>
      <c r="J19" s="171" t="s">
        <v>213</v>
      </c>
      <c r="K19" s="143" t="s">
        <v>290</v>
      </c>
      <c r="L19" s="171">
        <v>16654</v>
      </c>
      <c r="M19" s="234">
        <v>5099</v>
      </c>
      <c r="N19" s="234">
        <v>5189</v>
      </c>
      <c r="O19" s="171">
        <v>1</v>
      </c>
      <c r="P19" s="258">
        <f>N19-M19</f>
        <v>90</v>
      </c>
      <c r="Q19" s="259"/>
      <c r="R19" s="175">
        <f>O19*P19+Q19</f>
        <v>90</v>
      </c>
      <c r="S19" s="157" t="s">
        <v>153</v>
      </c>
      <c r="T19" s="159" t="s">
        <v>125</v>
      </c>
      <c r="U19" s="160"/>
      <c r="V19" s="160"/>
      <c r="W19" s="163">
        <f t="shared" si="0"/>
        <v>78376</v>
      </c>
      <c r="X19" s="186">
        <f>ROUND(I33,0)</f>
        <v>78376</v>
      </c>
      <c r="Y19" s="168">
        <v>0</v>
      </c>
      <c r="Z19" s="168">
        <v>0</v>
      </c>
      <c r="AA19" s="168">
        <v>0</v>
      </c>
      <c r="AB19" s="179"/>
      <c r="AC19" s="160"/>
      <c r="AD19" s="160"/>
      <c r="AE19" s="160"/>
      <c r="AF19" s="180"/>
      <c r="AG19" s="181"/>
      <c r="AH19" s="181"/>
      <c r="AI19" s="180"/>
      <c r="AJ19" s="181"/>
      <c r="AK19" s="157" t="s">
        <v>148</v>
      </c>
      <c r="AL19" s="159" t="s">
        <v>158</v>
      </c>
      <c r="AM19" s="160"/>
      <c r="AN19" s="161"/>
      <c r="AO19" s="163">
        <f>AP19+AQ19+AR19+AS19</f>
        <v>549</v>
      </c>
      <c r="AP19" s="163">
        <v>0</v>
      </c>
      <c r="AQ19" s="168">
        <v>0</v>
      </c>
      <c r="AR19" s="163">
        <v>549</v>
      </c>
      <c r="AS19" s="168">
        <v>0</v>
      </c>
      <c r="AT19" s="146" t="s">
        <v>182</v>
      </c>
      <c r="AU19" s="146"/>
      <c r="AV19" s="146"/>
      <c r="AW19" s="146"/>
      <c r="AX19" s="146"/>
      <c r="AY19" s="147"/>
      <c r="AZ19" s="291">
        <f>R19+R20</f>
        <v>90</v>
      </c>
      <c r="BA19" s="285">
        <v>6.09762</v>
      </c>
      <c r="BB19" s="284">
        <f>AZ19*BA19</f>
        <v>548.7858</v>
      </c>
    </row>
    <row r="20" spans="1:54" ht="12.75">
      <c r="A20" s="96" t="s">
        <v>215</v>
      </c>
      <c r="B20" s="96" t="s">
        <v>216</v>
      </c>
      <c r="C20" s="213">
        <v>109053225</v>
      </c>
      <c r="D20" s="230">
        <v>18372.6057</v>
      </c>
      <c r="E20" s="230">
        <v>18452.8306</v>
      </c>
      <c r="F20" s="155">
        <v>21000</v>
      </c>
      <c r="G20" s="252">
        <f>E20-D20</f>
        <v>80.22490000000107</v>
      </c>
      <c r="H20" s="96"/>
      <c r="I20" s="155">
        <f>ROUND((F20*G20+H20),0)</f>
        <v>1684723</v>
      </c>
      <c r="J20" s="144"/>
      <c r="K20" s="144" t="s">
        <v>291</v>
      </c>
      <c r="L20" s="144"/>
      <c r="M20" s="144"/>
      <c r="N20" s="144"/>
      <c r="O20" s="144"/>
      <c r="P20" s="185"/>
      <c r="Q20" s="260"/>
      <c r="R20" s="276"/>
      <c r="S20" s="157" t="s">
        <v>157</v>
      </c>
      <c r="T20" s="159" t="s">
        <v>126</v>
      </c>
      <c r="U20" s="160"/>
      <c r="V20" s="160"/>
      <c r="W20" s="163">
        <f t="shared" si="0"/>
        <v>237778</v>
      </c>
      <c r="X20" s="186">
        <f>ROUND(I35,0)</f>
        <v>237778</v>
      </c>
      <c r="Y20" s="168">
        <v>0</v>
      </c>
      <c r="Z20" s="163">
        <v>0</v>
      </c>
      <c r="AA20" s="168">
        <v>0</v>
      </c>
      <c r="AB20" s="179"/>
      <c r="AC20" s="160"/>
      <c r="AD20" s="160"/>
      <c r="AE20" s="160"/>
      <c r="AF20" s="180"/>
      <c r="AG20" s="180"/>
      <c r="AH20" s="181"/>
      <c r="AI20" s="180"/>
      <c r="AJ20" s="181"/>
      <c r="AK20" s="158" t="s">
        <v>153</v>
      </c>
      <c r="AL20" s="103" t="s">
        <v>544</v>
      </c>
      <c r="AM20" s="148"/>
      <c r="AN20" s="149"/>
      <c r="AO20" s="164">
        <f>AP20+AQ20+AR20+AS20</f>
        <v>11441</v>
      </c>
      <c r="AP20" s="164"/>
      <c r="AQ20" s="169"/>
      <c r="AR20" s="164">
        <v>11441</v>
      </c>
      <c r="AS20" s="169"/>
      <c r="AT20" s="146" t="s">
        <v>416</v>
      </c>
      <c r="AU20" s="146"/>
      <c r="AV20" s="146"/>
      <c r="AW20" s="146"/>
      <c r="AX20" s="146"/>
      <c r="AY20" s="147"/>
      <c r="AZ20" s="280"/>
      <c r="BA20" s="290"/>
      <c r="BB20" s="279"/>
    </row>
    <row r="21" spans="1:54" ht="12.75">
      <c r="A21" s="96" t="s">
        <v>521</v>
      </c>
      <c r="B21" s="150" t="s">
        <v>524</v>
      </c>
      <c r="C21" s="148"/>
      <c r="D21" s="150"/>
      <c r="E21" s="150"/>
      <c r="F21" s="214"/>
      <c r="G21" s="150"/>
      <c r="H21" s="151"/>
      <c r="I21" s="155"/>
      <c r="J21" s="143" t="s">
        <v>219</v>
      </c>
      <c r="K21" s="143" t="s">
        <v>293</v>
      </c>
      <c r="L21" s="377">
        <v>122848480</v>
      </c>
      <c r="M21" s="376">
        <v>435</v>
      </c>
      <c r="N21" s="376">
        <v>448</v>
      </c>
      <c r="O21" s="152">
        <v>20</v>
      </c>
      <c r="P21" s="375">
        <f>N21-M21</f>
        <v>13</v>
      </c>
      <c r="Q21" s="261"/>
      <c r="R21" s="155">
        <f>O21*P21+Q21</f>
        <v>260</v>
      </c>
      <c r="S21" s="157" t="s">
        <v>161</v>
      </c>
      <c r="T21" s="159" t="s">
        <v>127</v>
      </c>
      <c r="U21" s="160"/>
      <c r="V21" s="160"/>
      <c r="W21" s="163">
        <f t="shared" si="0"/>
        <v>167049</v>
      </c>
      <c r="X21" s="186">
        <f>ROUND(I37,0)</f>
        <v>167049</v>
      </c>
      <c r="Y21" s="168">
        <v>0</v>
      </c>
      <c r="Z21" s="163">
        <v>0</v>
      </c>
      <c r="AA21" s="168">
        <v>0</v>
      </c>
      <c r="AB21" s="179"/>
      <c r="AC21" s="160"/>
      <c r="AD21" s="160"/>
      <c r="AE21" s="160"/>
      <c r="AF21" s="180"/>
      <c r="AG21" s="180"/>
      <c r="AH21" s="181"/>
      <c r="AI21" s="180"/>
      <c r="AJ21" s="181"/>
      <c r="AK21" s="179"/>
      <c r="AL21" s="160"/>
      <c r="AM21" s="160"/>
      <c r="AN21" s="160"/>
      <c r="AO21" s="180"/>
      <c r="AP21" s="181"/>
      <c r="AQ21" s="182"/>
      <c r="AR21" s="180"/>
      <c r="AS21" s="181"/>
      <c r="AT21" s="102"/>
      <c r="AU21" s="146"/>
      <c r="AV21" s="146"/>
      <c r="AW21" s="146"/>
      <c r="AX21" s="146"/>
      <c r="AY21" s="147"/>
      <c r="AZ21" s="280"/>
      <c r="BA21" s="290"/>
      <c r="BB21" s="279"/>
    </row>
    <row r="22" spans="1:54" ht="12.75">
      <c r="A22" s="96" t="s">
        <v>522</v>
      </c>
      <c r="B22" s="102" t="s">
        <v>525</v>
      </c>
      <c r="C22" s="150"/>
      <c r="D22" s="150"/>
      <c r="E22" s="150"/>
      <c r="F22" s="150"/>
      <c r="G22" s="150"/>
      <c r="H22" s="151"/>
      <c r="I22" s="280">
        <v>66338</v>
      </c>
      <c r="J22" s="144"/>
      <c r="K22" s="144" t="s">
        <v>292</v>
      </c>
      <c r="L22" s="377">
        <v>122848480</v>
      </c>
      <c r="M22" s="376">
        <v>117</v>
      </c>
      <c r="N22" s="376">
        <v>123</v>
      </c>
      <c r="O22" s="152">
        <v>20</v>
      </c>
      <c r="P22" s="375">
        <f>N22-M22</f>
        <v>6</v>
      </c>
      <c r="Q22" s="261"/>
      <c r="R22" s="155">
        <f>O22*P22+Q22</f>
        <v>120</v>
      </c>
      <c r="S22" s="157" t="s">
        <v>162</v>
      </c>
      <c r="T22" s="159" t="s">
        <v>128</v>
      </c>
      <c r="U22" s="160"/>
      <c r="V22" s="160"/>
      <c r="W22" s="163">
        <f t="shared" si="0"/>
        <v>166368</v>
      </c>
      <c r="X22" s="186">
        <f>ROUND(I39,0)</f>
        <v>166368</v>
      </c>
      <c r="Y22" s="168">
        <v>0</v>
      </c>
      <c r="Z22" s="168">
        <v>0</v>
      </c>
      <c r="AA22" s="168">
        <v>0</v>
      </c>
      <c r="AB22" s="179"/>
      <c r="AC22" s="160"/>
      <c r="AD22" s="160"/>
      <c r="AE22" s="160"/>
      <c r="AF22" s="180"/>
      <c r="AG22" s="181"/>
      <c r="AH22" s="181"/>
      <c r="AI22" s="180"/>
      <c r="AJ22" s="181"/>
      <c r="AK22" s="179"/>
      <c r="AL22" s="160"/>
      <c r="AM22" s="160"/>
      <c r="AN22" s="160"/>
      <c r="AO22" s="180"/>
      <c r="AP22" s="181"/>
      <c r="AQ22" s="182"/>
      <c r="AR22" s="180"/>
      <c r="AS22" s="181"/>
      <c r="AT22" s="255" t="s">
        <v>22</v>
      </c>
      <c r="AU22" s="256"/>
      <c r="AV22" s="256"/>
      <c r="AW22" s="256"/>
      <c r="AX22" s="146"/>
      <c r="AY22" s="147"/>
      <c r="AZ22" s="280"/>
      <c r="BA22" s="293"/>
      <c r="BB22" s="294"/>
    </row>
    <row r="23" spans="1:54" ht="12.75">
      <c r="A23" s="102"/>
      <c r="B23" s="102"/>
      <c r="C23" s="371"/>
      <c r="D23" s="372"/>
      <c r="E23" s="372"/>
      <c r="F23" s="373"/>
      <c r="G23" s="374"/>
      <c r="H23" s="151"/>
      <c r="I23" s="280"/>
      <c r="J23" s="102"/>
      <c r="K23" s="245"/>
      <c r="L23" s="245"/>
      <c r="M23" s="245"/>
      <c r="N23" s="245"/>
      <c r="O23" s="245"/>
      <c r="P23" s="246" t="s">
        <v>274</v>
      </c>
      <c r="Q23" s="247"/>
      <c r="R23" s="155">
        <f>R19+R21+R22+R20</f>
        <v>470</v>
      </c>
      <c r="S23" s="157" t="s">
        <v>163</v>
      </c>
      <c r="T23" s="159" t="s">
        <v>129</v>
      </c>
      <c r="U23" s="160"/>
      <c r="V23" s="160"/>
      <c r="W23" s="163">
        <f t="shared" si="0"/>
        <v>291327</v>
      </c>
      <c r="X23" s="186">
        <v>0</v>
      </c>
      <c r="Y23" s="168">
        <v>0</v>
      </c>
      <c r="Z23" s="163">
        <f>I26+I25</f>
        <v>291327</v>
      </c>
      <c r="AA23" s="168">
        <v>0</v>
      </c>
      <c r="AB23" s="179"/>
      <c r="AC23" s="160"/>
      <c r="AD23" s="160"/>
      <c r="AE23" s="160"/>
      <c r="AF23" s="180"/>
      <c r="AG23" s="181"/>
      <c r="AH23" s="182"/>
      <c r="AI23" s="180"/>
      <c r="AJ23" s="181"/>
      <c r="AK23" s="179"/>
      <c r="AL23" s="160"/>
      <c r="AM23" s="160"/>
      <c r="AN23" s="160"/>
      <c r="AO23" s="180"/>
      <c r="AP23" s="181"/>
      <c r="AQ23" s="182"/>
      <c r="AR23" s="180"/>
      <c r="AS23" s="181"/>
      <c r="AT23" s="145" t="s">
        <v>23</v>
      </c>
      <c r="AU23" s="146"/>
      <c r="AV23" s="146"/>
      <c r="AW23" s="146"/>
      <c r="AX23" s="146"/>
      <c r="AY23" s="147"/>
      <c r="AZ23" s="280"/>
      <c r="BA23" s="293"/>
      <c r="BB23" s="279"/>
    </row>
    <row r="24" spans="1:54" ht="12.75">
      <c r="A24" s="96" t="s">
        <v>219</v>
      </c>
      <c r="B24" s="103" t="s">
        <v>220</v>
      </c>
      <c r="C24" s="148"/>
      <c r="D24" s="148"/>
      <c r="E24" s="148"/>
      <c r="F24" s="148"/>
      <c r="G24" s="148"/>
      <c r="H24" s="148"/>
      <c r="I24" s="151"/>
      <c r="J24" s="145"/>
      <c r="K24" s="146"/>
      <c r="L24" s="146"/>
      <c r="M24" s="146"/>
      <c r="N24" s="146"/>
      <c r="O24" s="146"/>
      <c r="P24" s="248"/>
      <c r="Q24" s="249"/>
      <c r="R24" s="250"/>
      <c r="S24" s="157" t="s">
        <v>164</v>
      </c>
      <c r="T24" s="160" t="s">
        <v>130</v>
      </c>
      <c r="U24" s="160"/>
      <c r="V24" s="160"/>
      <c r="W24" s="163">
        <f t="shared" si="0"/>
        <v>1122</v>
      </c>
      <c r="X24" s="186">
        <v>0</v>
      </c>
      <c r="Y24" s="168">
        <v>0</v>
      </c>
      <c r="Z24" s="163">
        <f>I41</f>
        <v>1122</v>
      </c>
      <c r="AA24" s="168">
        <v>0</v>
      </c>
      <c r="AB24" s="153"/>
      <c r="AC24" s="120" t="s">
        <v>189</v>
      </c>
      <c r="AD24" s="120"/>
      <c r="AE24" s="120"/>
      <c r="AF24" s="154"/>
      <c r="AG24" s="154"/>
      <c r="AH24" s="154"/>
      <c r="AI24" s="154"/>
      <c r="AJ24" s="154"/>
      <c r="AK24" s="153"/>
      <c r="AL24" s="120" t="s">
        <v>278</v>
      </c>
      <c r="AM24" s="120"/>
      <c r="AN24" s="120"/>
      <c r="AO24" s="154"/>
      <c r="AP24" s="154"/>
      <c r="AQ24" s="154"/>
      <c r="AR24" s="154"/>
      <c r="AS24" s="154"/>
      <c r="AT24" s="262" t="s">
        <v>139</v>
      </c>
      <c r="AU24" s="245"/>
      <c r="AV24" s="245"/>
      <c r="AW24" s="245"/>
      <c r="AX24" s="245"/>
      <c r="AY24" s="263"/>
      <c r="AZ24" s="295"/>
      <c r="BA24" s="287"/>
      <c r="BB24" s="284"/>
    </row>
    <row r="25" spans="1:54" ht="12.75">
      <c r="A25" s="143" t="s">
        <v>221</v>
      </c>
      <c r="B25" s="143" t="s">
        <v>224</v>
      </c>
      <c r="C25" s="197"/>
      <c r="D25" s="323"/>
      <c r="E25" s="323"/>
      <c r="F25" s="164"/>
      <c r="G25" s="324"/>
      <c r="H25" s="164"/>
      <c r="I25" s="164"/>
      <c r="J25" s="159" t="s">
        <v>275</v>
      </c>
      <c r="K25" s="160"/>
      <c r="L25" s="160"/>
      <c r="M25" s="160"/>
      <c r="N25" s="160"/>
      <c r="O25" s="160"/>
      <c r="P25" s="190"/>
      <c r="Q25" s="238"/>
      <c r="R25" s="251"/>
      <c r="S25" s="157" t="s">
        <v>165</v>
      </c>
      <c r="T25" s="160" t="s">
        <v>131</v>
      </c>
      <c r="U25" s="160"/>
      <c r="V25" s="160"/>
      <c r="W25" s="163">
        <f t="shared" si="0"/>
        <v>42495</v>
      </c>
      <c r="X25" s="186">
        <v>0</v>
      </c>
      <c r="Y25" s="168">
        <v>0</v>
      </c>
      <c r="Z25" s="163">
        <f>I43</f>
        <v>42495</v>
      </c>
      <c r="AA25" s="168">
        <v>0</v>
      </c>
      <c r="AB25" s="153"/>
      <c r="AC25" s="120" t="s">
        <v>533</v>
      </c>
      <c r="AD25" s="120"/>
      <c r="AE25" s="120"/>
      <c r="AF25" s="120"/>
      <c r="AG25" s="120"/>
      <c r="AH25" s="120"/>
      <c r="AI25" s="120"/>
      <c r="AJ25" s="120"/>
      <c r="AK25" s="153"/>
      <c r="AL25" s="120" t="s">
        <v>533</v>
      </c>
      <c r="AM25" s="120"/>
      <c r="AN25" s="120"/>
      <c r="AO25" s="120"/>
      <c r="AP25" s="120"/>
      <c r="AQ25" s="120"/>
      <c r="AR25" s="120"/>
      <c r="AS25" s="120"/>
      <c r="AT25" s="103" t="s">
        <v>183</v>
      </c>
      <c r="AU25" s="148"/>
      <c r="AV25" s="148"/>
      <c r="AW25" s="148"/>
      <c r="AX25" s="148"/>
      <c r="AY25" s="149"/>
      <c r="AZ25" s="296">
        <v>7.91</v>
      </c>
      <c r="BA25" s="297">
        <v>35268</v>
      </c>
      <c r="BB25" s="284">
        <f>AZ25*BA25</f>
        <v>278969.88</v>
      </c>
    </row>
    <row r="26" spans="1:54" ht="12.75">
      <c r="A26" s="144"/>
      <c r="B26" s="144" t="s">
        <v>222</v>
      </c>
      <c r="C26" s="198">
        <v>109056121</v>
      </c>
      <c r="D26" s="323">
        <v>20971.7738</v>
      </c>
      <c r="E26" s="323">
        <v>21032.467</v>
      </c>
      <c r="F26" s="164">
        <v>4800</v>
      </c>
      <c r="G26" s="324">
        <f aca="true" t="shared" si="1" ref="G26:G43">E26-D26</f>
        <v>60.693200000001525</v>
      </c>
      <c r="H26" s="164"/>
      <c r="I26" s="164">
        <f>ROUND(F26*G26+H26,0)</f>
        <v>291327</v>
      </c>
      <c r="J26" s="222" t="s">
        <v>548</v>
      </c>
      <c r="K26" s="223"/>
      <c r="L26" s="223"/>
      <c r="M26" s="191"/>
      <c r="N26" s="148"/>
      <c r="O26" s="148"/>
      <c r="P26" s="148"/>
      <c r="Q26" s="148"/>
      <c r="R26" s="209"/>
      <c r="S26" s="158" t="s">
        <v>166</v>
      </c>
      <c r="T26" s="148" t="s">
        <v>132</v>
      </c>
      <c r="U26" s="148"/>
      <c r="V26" s="148"/>
      <c r="W26" s="164">
        <f>SUM(X26:AA26)</f>
        <v>6856</v>
      </c>
      <c r="X26" s="187">
        <v>0</v>
      </c>
      <c r="Y26" s="169">
        <v>0</v>
      </c>
      <c r="Z26" s="164">
        <f>I45+I46</f>
        <v>6856</v>
      </c>
      <c r="AA26" s="169">
        <v>0</v>
      </c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02" t="s">
        <v>184</v>
      </c>
      <c r="AU26" s="150"/>
      <c r="AV26" s="150"/>
      <c r="AW26" s="150"/>
      <c r="AX26" s="160"/>
      <c r="AY26" s="161"/>
      <c r="AZ26" s="296">
        <f>(X14+AG14+AP14)/1000</f>
        <v>2957.363</v>
      </c>
      <c r="BA26" s="279">
        <v>17</v>
      </c>
      <c r="BB26" s="284">
        <f>AZ26*BA26</f>
        <v>50275.170999999995</v>
      </c>
    </row>
    <row r="27" spans="1:54" ht="12.75">
      <c r="A27" s="143" t="s">
        <v>223</v>
      </c>
      <c r="B27" s="143" t="s">
        <v>235</v>
      </c>
      <c r="C27" s="197">
        <v>623125232</v>
      </c>
      <c r="D27" s="325">
        <v>9240.7087</v>
      </c>
      <c r="E27" s="325">
        <v>9240.7087</v>
      </c>
      <c r="F27" s="175">
        <v>1800</v>
      </c>
      <c r="G27" s="326">
        <f t="shared" si="1"/>
        <v>0</v>
      </c>
      <c r="H27" s="171"/>
      <c r="I27" s="175">
        <f>ROUND(G27*F27,0)</f>
        <v>0</v>
      </c>
      <c r="J27" s="120"/>
      <c r="K27" s="160"/>
      <c r="L27" s="160"/>
      <c r="M27" s="160"/>
      <c r="N27" s="160"/>
      <c r="O27" s="160"/>
      <c r="P27" s="190"/>
      <c r="Q27" s="238"/>
      <c r="R27" s="237"/>
      <c r="S27" s="179"/>
      <c r="T27" s="160"/>
      <c r="U27" s="160"/>
      <c r="V27" s="160"/>
      <c r="W27" s="180"/>
      <c r="X27" s="180"/>
      <c r="Y27" s="181"/>
      <c r="Z27" s="180"/>
      <c r="AA27" s="181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03" t="s">
        <v>185</v>
      </c>
      <c r="AU27" s="148"/>
      <c r="AV27" s="148"/>
      <c r="AW27" s="148"/>
      <c r="AX27" s="146"/>
      <c r="AY27" s="147"/>
      <c r="AZ27" s="296">
        <v>2.26</v>
      </c>
      <c r="BA27" s="279">
        <v>35268</v>
      </c>
      <c r="BB27" s="279">
        <f>AZ27*BA27</f>
        <v>79705.68</v>
      </c>
    </row>
    <row r="28" spans="1:54" ht="12.75">
      <c r="A28" s="144"/>
      <c r="B28" s="144" t="s">
        <v>222</v>
      </c>
      <c r="C28" s="169"/>
      <c r="D28" s="228"/>
      <c r="E28" s="228"/>
      <c r="F28" s="164"/>
      <c r="G28" s="227"/>
      <c r="H28" s="169"/>
      <c r="I28" s="164"/>
      <c r="J28" s="160" t="s">
        <v>279</v>
      </c>
      <c r="K28" s="160"/>
      <c r="L28" s="264"/>
      <c r="M28" s="181"/>
      <c r="N28" s="265"/>
      <c r="O28" s="265"/>
      <c r="P28" s="188"/>
      <c r="Q28" s="160"/>
      <c r="R28" s="190"/>
      <c r="S28" s="120"/>
      <c r="T28" s="120"/>
      <c r="U28" s="120"/>
      <c r="V28" s="120"/>
      <c r="W28" s="120"/>
      <c r="X28" s="120"/>
      <c r="Y28" s="120"/>
      <c r="Z28" s="120"/>
      <c r="AA28" s="120"/>
      <c r="AB28" s="120" t="s">
        <v>447</v>
      </c>
      <c r="AC28" s="120"/>
      <c r="AD28" s="120"/>
      <c r="AE28" s="120"/>
      <c r="AF28" s="120"/>
      <c r="AG28" s="120" t="s">
        <v>450</v>
      </c>
      <c r="AH28" s="120"/>
      <c r="AI28" s="120" t="s">
        <v>451</v>
      </c>
      <c r="AJ28" s="120"/>
      <c r="AK28" s="120" t="s">
        <v>447</v>
      </c>
      <c r="AL28" s="120"/>
      <c r="AM28" s="120"/>
      <c r="AN28" s="120"/>
      <c r="AO28" s="120"/>
      <c r="AP28" s="120" t="s">
        <v>151</v>
      </c>
      <c r="AQ28" s="120"/>
      <c r="AR28" s="120" t="s">
        <v>152</v>
      </c>
      <c r="AS28" s="120"/>
      <c r="AT28" s="159" t="s">
        <v>186</v>
      </c>
      <c r="AU28" s="160"/>
      <c r="AV28" s="160"/>
      <c r="AW28" s="160"/>
      <c r="AX28" s="146"/>
      <c r="AY28" s="147"/>
      <c r="AZ28" s="296">
        <f>(Z14+AI14+AR14)/1000</f>
        <v>414.318</v>
      </c>
      <c r="BA28" s="279">
        <v>17</v>
      </c>
      <c r="BB28" s="284">
        <f>AZ28*BA28</f>
        <v>7043.406</v>
      </c>
    </row>
    <row r="29" spans="1:54" ht="12.75">
      <c r="A29" s="143" t="s">
        <v>225</v>
      </c>
      <c r="B29" s="143" t="s">
        <v>236</v>
      </c>
      <c r="C29" s="197">
        <v>623125667</v>
      </c>
      <c r="D29" s="325">
        <v>9891.512</v>
      </c>
      <c r="E29" s="325">
        <v>10042.2034</v>
      </c>
      <c r="F29" s="175">
        <v>1800</v>
      </c>
      <c r="G29" s="326">
        <f t="shared" si="1"/>
        <v>150.6913999999997</v>
      </c>
      <c r="H29" s="171"/>
      <c r="I29" s="175">
        <f>ROUND(G29*F29,0)</f>
        <v>271245</v>
      </c>
      <c r="J29" s="160"/>
      <c r="K29" s="160"/>
      <c r="L29" s="181"/>
      <c r="M29" s="181"/>
      <c r="N29" s="188"/>
      <c r="O29" s="188"/>
      <c r="P29" s="188"/>
      <c r="Q29" s="160"/>
      <c r="R29" s="190"/>
      <c r="S29" s="120"/>
      <c r="T29" s="120"/>
      <c r="U29" s="120"/>
      <c r="V29" s="120"/>
      <c r="W29" s="120"/>
      <c r="X29" s="120"/>
      <c r="Y29" s="120"/>
      <c r="Z29" s="120"/>
      <c r="AA29" s="120"/>
      <c r="AB29" s="120" t="s">
        <v>527</v>
      </c>
      <c r="AC29" s="120"/>
      <c r="AD29" s="120"/>
      <c r="AE29" s="120"/>
      <c r="AF29" s="120"/>
      <c r="AG29" s="120" t="s">
        <v>150</v>
      </c>
      <c r="AH29" s="120"/>
      <c r="AI29" s="120"/>
      <c r="AJ29" s="120"/>
      <c r="AK29" s="120" t="s">
        <v>527</v>
      </c>
      <c r="AL29" s="120"/>
      <c r="AM29" s="120"/>
      <c r="AN29" s="120"/>
      <c r="AO29" s="120"/>
      <c r="AP29" s="120" t="s">
        <v>150</v>
      </c>
      <c r="AQ29" s="120"/>
      <c r="AR29" s="120"/>
      <c r="AS29" s="120"/>
      <c r="AT29" s="145"/>
      <c r="AU29" s="146"/>
      <c r="AV29" s="146"/>
      <c r="AW29" s="146"/>
      <c r="AX29" s="146"/>
      <c r="AY29" s="147"/>
      <c r="AZ29" s="280"/>
      <c r="BA29" s="287"/>
      <c r="BB29" s="284"/>
    </row>
    <row r="30" spans="1:54" ht="12.75">
      <c r="A30" s="144"/>
      <c r="B30" s="144" t="s">
        <v>222</v>
      </c>
      <c r="C30" s="169"/>
      <c r="D30" s="228"/>
      <c r="E30" s="228"/>
      <c r="F30" s="164"/>
      <c r="G30" s="227"/>
      <c r="H30" s="169"/>
      <c r="I30" s="164"/>
      <c r="J30" s="160"/>
      <c r="K30" s="160"/>
      <c r="L30" s="181"/>
      <c r="M30" s="181"/>
      <c r="N30" s="188"/>
      <c r="O30" s="188"/>
      <c r="P30" s="188"/>
      <c r="Q30" s="160"/>
      <c r="R30" s="19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45"/>
      <c r="AU30" s="146"/>
      <c r="AV30" s="146"/>
      <c r="AW30" s="146"/>
      <c r="AX30" s="146"/>
      <c r="AY30" s="147"/>
      <c r="AZ30" s="280"/>
      <c r="BA30" s="287"/>
      <c r="BB30" s="284"/>
    </row>
    <row r="31" spans="1:54" ht="12.75">
      <c r="A31" s="143" t="s">
        <v>226</v>
      </c>
      <c r="B31" s="143" t="s">
        <v>237</v>
      </c>
      <c r="C31" s="197">
        <v>623126370</v>
      </c>
      <c r="D31" s="325">
        <v>2655.8877</v>
      </c>
      <c r="E31" s="325">
        <v>2682.4629</v>
      </c>
      <c r="F31" s="175">
        <v>4800</v>
      </c>
      <c r="G31" s="326">
        <f t="shared" si="1"/>
        <v>26.575199999999768</v>
      </c>
      <c r="H31" s="171"/>
      <c r="I31" s="175">
        <f>ROUND(G31*F31,0)</f>
        <v>127561</v>
      </c>
      <c r="J31" s="160"/>
      <c r="K31" s="160"/>
      <c r="L31" s="264"/>
      <c r="M31" s="181"/>
      <c r="N31" s="265" t="s">
        <v>280</v>
      </c>
      <c r="O31" s="265"/>
      <c r="P31" s="188"/>
      <c r="Q31" s="160"/>
      <c r="R31" s="190"/>
      <c r="S31" s="120" t="s">
        <v>447</v>
      </c>
      <c r="T31" s="120"/>
      <c r="U31" s="120"/>
      <c r="V31" s="120"/>
      <c r="W31" s="120"/>
      <c r="X31" s="120" t="s">
        <v>450</v>
      </c>
      <c r="Y31" s="120"/>
      <c r="Z31" s="120" t="s">
        <v>451</v>
      </c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45"/>
      <c r="AU31" s="146"/>
      <c r="AV31" s="146"/>
      <c r="AW31" s="146"/>
      <c r="AX31" s="146"/>
      <c r="AY31" s="147"/>
      <c r="AZ31" s="280"/>
      <c r="BA31" s="287"/>
      <c r="BB31" s="284"/>
    </row>
    <row r="32" spans="1:54" ht="12.75">
      <c r="A32" s="144"/>
      <c r="B32" s="144" t="s">
        <v>222</v>
      </c>
      <c r="C32" s="169"/>
      <c r="D32" s="228"/>
      <c r="E32" s="228"/>
      <c r="F32" s="164"/>
      <c r="G32" s="227"/>
      <c r="H32" s="169"/>
      <c r="I32" s="164"/>
      <c r="J32" s="160"/>
      <c r="K32" s="160"/>
      <c r="L32" s="181"/>
      <c r="M32" s="181"/>
      <c r="N32" s="265" t="s">
        <v>529</v>
      </c>
      <c r="O32" s="265"/>
      <c r="P32" s="188"/>
      <c r="Q32" s="160"/>
      <c r="R32" s="190"/>
      <c r="S32" s="120" t="s">
        <v>527</v>
      </c>
      <c r="T32" s="120"/>
      <c r="U32" s="120"/>
      <c r="V32" s="120"/>
      <c r="W32" s="120"/>
      <c r="X32" s="120" t="s">
        <v>150</v>
      </c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45" t="s">
        <v>432</v>
      </c>
      <c r="AU32" s="146"/>
      <c r="AV32" s="146"/>
      <c r="AW32" s="146"/>
      <c r="AX32" s="146"/>
      <c r="AY32" s="147"/>
      <c r="AZ32" s="280"/>
      <c r="BA32" s="298"/>
      <c r="BB32" s="279"/>
    </row>
    <row r="33" spans="1:54" ht="12.75">
      <c r="A33" s="143" t="s">
        <v>227</v>
      </c>
      <c r="B33" s="143" t="s">
        <v>238</v>
      </c>
      <c r="C33" s="197">
        <v>623125137</v>
      </c>
      <c r="D33" s="325">
        <v>2186.3806</v>
      </c>
      <c r="E33" s="325">
        <v>2202.7089</v>
      </c>
      <c r="F33" s="175">
        <v>4800</v>
      </c>
      <c r="G33" s="326">
        <f t="shared" si="1"/>
        <v>16.328300000000127</v>
      </c>
      <c r="H33" s="171"/>
      <c r="I33" s="175">
        <f>ROUND(G33*F33,0)</f>
        <v>78376</v>
      </c>
      <c r="J33" s="160"/>
      <c r="K33" s="160"/>
      <c r="L33" s="264"/>
      <c r="M33" s="181"/>
      <c r="N33" s="265" t="s">
        <v>563</v>
      </c>
      <c r="O33" s="265"/>
      <c r="P33" s="188"/>
      <c r="Q33" s="160"/>
      <c r="R33" s="190"/>
      <c r="S33" s="120"/>
      <c r="T33" s="120"/>
      <c r="U33" s="120"/>
      <c r="V33" s="120"/>
      <c r="W33" s="120"/>
      <c r="X33" s="120"/>
      <c r="Y33" s="120"/>
      <c r="Z33" s="120"/>
      <c r="AA33" s="120"/>
      <c r="AB33" s="120" t="s">
        <v>149</v>
      </c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45" t="s">
        <v>430</v>
      </c>
      <c r="AU33" s="146"/>
      <c r="AV33" s="146"/>
      <c r="AW33" s="146"/>
      <c r="AX33" s="146"/>
      <c r="AY33" s="147"/>
      <c r="AZ33" s="280"/>
      <c r="BA33" s="287"/>
      <c r="BB33" s="279"/>
    </row>
    <row r="34" spans="1:54" ht="12.75">
      <c r="A34" s="144"/>
      <c r="B34" s="144" t="s">
        <v>222</v>
      </c>
      <c r="C34" s="169"/>
      <c r="D34" s="228"/>
      <c r="E34" s="228"/>
      <c r="F34" s="164"/>
      <c r="G34" s="227"/>
      <c r="H34" s="169"/>
      <c r="I34" s="164"/>
      <c r="J34" s="160"/>
      <c r="K34" s="160"/>
      <c r="L34" s="181"/>
      <c r="M34" s="181"/>
      <c r="N34" s="265"/>
      <c r="O34" s="265"/>
      <c r="P34" s="188"/>
      <c r="Q34" s="160"/>
      <c r="R34" s="190"/>
      <c r="S34" s="120"/>
      <c r="T34" s="120"/>
      <c r="U34" s="120"/>
      <c r="V34" s="120"/>
      <c r="W34" s="120"/>
      <c r="X34" s="120"/>
      <c r="Y34" s="120"/>
      <c r="Z34" s="120"/>
      <c r="AA34" s="120"/>
      <c r="AB34" s="120" t="s">
        <v>18</v>
      </c>
      <c r="AC34" s="120"/>
      <c r="AD34" s="120"/>
      <c r="AE34" s="120"/>
      <c r="AF34" s="120"/>
      <c r="AG34" s="120"/>
      <c r="AH34" s="120"/>
      <c r="AI34" s="120"/>
      <c r="AJ34" s="120"/>
      <c r="AK34" s="120" t="s">
        <v>149</v>
      </c>
      <c r="AL34" s="120"/>
      <c r="AM34" s="120"/>
      <c r="AN34" s="120"/>
      <c r="AO34" s="120"/>
      <c r="AP34" s="120"/>
      <c r="AQ34" s="120"/>
      <c r="AR34" s="120"/>
      <c r="AS34" s="120"/>
      <c r="AT34" s="145" t="s">
        <v>437</v>
      </c>
      <c r="AU34" s="146"/>
      <c r="AV34" s="146"/>
      <c r="AW34" s="146"/>
      <c r="AX34" s="146"/>
      <c r="AY34" s="147"/>
      <c r="AZ34" s="280"/>
      <c r="BA34" s="293"/>
      <c r="BB34" s="279"/>
    </row>
    <row r="35" spans="1:54" ht="12.75">
      <c r="A35" s="143" t="s">
        <v>228</v>
      </c>
      <c r="B35" s="143" t="s">
        <v>239</v>
      </c>
      <c r="C35" s="197">
        <v>623125142</v>
      </c>
      <c r="D35" s="325">
        <v>13650.7464</v>
      </c>
      <c r="E35" s="325">
        <v>13749.8207</v>
      </c>
      <c r="F35" s="175">
        <v>2400</v>
      </c>
      <c r="G35" s="326">
        <f t="shared" si="1"/>
        <v>99.07430000000022</v>
      </c>
      <c r="H35" s="171"/>
      <c r="I35" s="175">
        <f>ROUND(G35*F35,0)</f>
        <v>237778</v>
      </c>
      <c r="J35" s="160"/>
      <c r="K35" s="160"/>
      <c r="L35" s="264"/>
      <c r="M35" s="181"/>
      <c r="N35" s="266" t="s">
        <v>283</v>
      </c>
      <c r="O35" s="266"/>
      <c r="P35" s="188"/>
      <c r="Q35" s="160"/>
      <c r="R35" s="190"/>
      <c r="S35" s="120"/>
      <c r="T35" s="120"/>
      <c r="U35" s="120"/>
      <c r="V35" s="120"/>
      <c r="W35" s="120"/>
      <c r="X35" s="120"/>
      <c r="Y35" s="120"/>
      <c r="Z35" s="120"/>
      <c r="AA35" s="120"/>
      <c r="AB35" s="120" t="s">
        <v>167</v>
      </c>
      <c r="AC35" s="120"/>
      <c r="AD35" s="120"/>
      <c r="AE35" s="120"/>
      <c r="AF35" s="120"/>
      <c r="AG35" s="120" t="s">
        <v>134</v>
      </c>
      <c r="AH35" s="120"/>
      <c r="AI35" s="120" t="s">
        <v>133</v>
      </c>
      <c r="AJ35" s="120"/>
      <c r="AK35" s="120" t="s">
        <v>462</v>
      </c>
      <c r="AL35" s="120"/>
      <c r="AM35" s="120"/>
      <c r="AN35" s="120"/>
      <c r="AO35" s="120"/>
      <c r="AP35" s="120"/>
      <c r="AQ35" s="120" t="s">
        <v>463</v>
      </c>
      <c r="AR35" s="120"/>
      <c r="AS35" s="120"/>
      <c r="AT35" s="145" t="s">
        <v>430</v>
      </c>
      <c r="AU35" s="146"/>
      <c r="AV35" s="146"/>
      <c r="AW35" s="146"/>
      <c r="AX35" s="146"/>
      <c r="AY35" s="147"/>
      <c r="AZ35" s="280"/>
      <c r="BA35" s="293"/>
      <c r="BB35" s="279"/>
    </row>
    <row r="36" spans="1:54" ht="12.75">
      <c r="A36" s="144"/>
      <c r="B36" s="144" t="s">
        <v>222</v>
      </c>
      <c r="C36" s="169"/>
      <c r="D36" s="228"/>
      <c r="E36" s="228"/>
      <c r="F36" s="164"/>
      <c r="G36" s="227"/>
      <c r="H36" s="169"/>
      <c r="I36" s="164"/>
      <c r="J36" s="160"/>
      <c r="K36" s="239"/>
      <c r="L36" s="181"/>
      <c r="M36" s="181"/>
      <c r="N36" s="267" t="s">
        <v>281</v>
      </c>
      <c r="O36" s="188"/>
      <c r="P36" s="188"/>
      <c r="Q36" s="160"/>
      <c r="R36" s="190"/>
      <c r="S36" s="120"/>
      <c r="T36" s="120"/>
      <c r="U36" s="120"/>
      <c r="V36" s="120"/>
      <c r="W36" s="120"/>
      <c r="X36" s="120"/>
      <c r="Y36" s="120"/>
      <c r="Z36" s="120"/>
      <c r="AA36" s="120"/>
      <c r="AB36" s="120" t="s">
        <v>188</v>
      </c>
      <c r="AC36" s="120"/>
      <c r="AD36" s="120"/>
      <c r="AE36" s="120"/>
      <c r="AF36" s="120"/>
      <c r="AG36" s="120" t="s">
        <v>150</v>
      </c>
      <c r="AH36" s="120"/>
      <c r="AI36" s="120"/>
      <c r="AJ36" s="120"/>
      <c r="AK36" s="120"/>
      <c r="AL36" s="120"/>
      <c r="AM36" s="120"/>
      <c r="AN36" s="120"/>
      <c r="AO36" s="120"/>
      <c r="AP36" s="120"/>
      <c r="AQ36" s="120" t="s">
        <v>150</v>
      </c>
      <c r="AR36" s="120"/>
      <c r="AS36" s="120"/>
      <c r="AT36" s="145" t="s">
        <v>430</v>
      </c>
      <c r="AU36" s="146"/>
      <c r="AV36" s="146"/>
      <c r="AW36" s="146"/>
      <c r="AX36" s="146"/>
      <c r="AY36" s="147"/>
      <c r="AZ36" s="280"/>
      <c r="BA36" s="293"/>
      <c r="BB36" s="279"/>
    </row>
    <row r="37" spans="1:54" ht="12.75">
      <c r="A37" s="143" t="s">
        <v>229</v>
      </c>
      <c r="B37" s="143" t="s">
        <v>240</v>
      </c>
      <c r="C37" s="197">
        <v>623125205</v>
      </c>
      <c r="D37" s="325">
        <v>4750.5806</v>
      </c>
      <c r="E37" s="325">
        <v>4843.3854</v>
      </c>
      <c r="F37" s="175">
        <v>1800</v>
      </c>
      <c r="G37" s="326">
        <f t="shared" si="1"/>
        <v>92.80479999999989</v>
      </c>
      <c r="H37" s="171"/>
      <c r="I37" s="175">
        <f>ROUND(G37*F37,0)</f>
        <v>167049</v>
      </c>
      <c r="J37" s="120"/>
      <c r="K37" s="160"/>
      <c r="L37" s="160"/>
      <c r="M37" s="160"/>
      <c r="N37" s="160"/>
      <c r="O37" s="160"/>
      <c r="P37" s="190"/>
      <c r="Q37" s="236"/>
      <c r="R37" s="237"/>
      <c r="S37" s="120" t="s">
        <v>160</v>
      </c>
      <c r="T37" s="120"/>
      <c r="U37" s="120"/>
      <c r="V37" s="120"/>
      <c r="W37" s="120"/>
      <c r="X37" s="120" t="s">
        <v>450</v>
      </c>
      <c r="Y37" s="120"/>
      <c r="Z37" s="120" t="s">
        <v>137</v>
      </c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46" t="s">
        <v>323</v>
      </c>
      <c r="AU37" s="146"/>
      <c r="AV37" s="146"/>
      <c r="AW37" s="146"/>
      <c r="AX37" s="146"/>
      <c r="AY37" s="147"/>
      <c r="AZ37" s="280"/>
      <c r="BA37" s="287"/>
      <c r="BB37" s="279"/>
    </row>
    <row r="38" spans="1:54" ht="12.75">
      <c r="A38" s="144"/>
      <c r="B38" s="144" t="s">
        <v>222</v>
      </c>
      <c r="C38" s="169"/>
      <c r="D38" s="228"/>
      <c r="E38" s="228"/>
      <c r="F38" s="164"/>
      <c r="G38" s="227"/>
      <c r="H38" s="169"/>
      <c r="I38" s="164"/>
      <c r="J38" s="120"/>
      <c r="K38" s="160"/>
      <c r="L38" s="160"/>
      <c r="M38" s="160"/>
      <c r="N38" s="160"/>
      <c r="O38" s="160"/>
      <c r="P38" s="190"/>
      <c r="Q38" s="236"/>
      <c r="R38" s="237"/>
      <c r="S38" s="120"/>
      <c r="T38" s="120"/>
      <c r="U38" s="120"/>
      <c r="V38" s="120"/>
      <c r="W38" s="120"/>
      <c r="X38" s="120" t="s">
        <v>150</v>
      </c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45" t="s">
        <v>430</v>
      </c>
      <c r="AU38" s="146"/>
      <c r="AV38" s="146" t="s">
        <v>96</v>
      </c>
      <c r="AW38" s="146"/>
      <c r="AX38" s="146"/>
      <c r="AY38" s="147"/>
      <c r="AZ38" s="280"/>
      <c r="BA38" s="293"/>
      <c r="BB38" s="279"/>
    </row>
    <row r="39" spans="1:54" ht="12.75">
      <c r="A39" s="143" t="s">
        <v>230</v>
      </c>
      <c r="B39" s="143" t="s">
        <v>241</v>
      </c>
      <c r="C39" s="197">
        <v>623123704</v>
      </c>
      <c r="D39" s="325">
        <v>7638.3378</v>
      </c>
      <c r="E39" s="325">
        <v>7730.7647</v>
      </c>
      <c r="F39" s="175">
        <v>1800</v>
      </c>
      <c r="G39" s="326">
        <f t="shared" si="1"/>
        <v>92.42689999999948</v>
      </c>
      <c r="H39" s="171"/>
      <c r="I39" s="175">
        <f>ROUND(G39*F39,0)</f>
        <v>166368</v>
      </c>
      <c r="J39" s="120"/>
      <c r="K39" s="160"/>
      <c r="L39" s="160"/>
      <c r="M39" s="160"/>
      <c r="N39" s="160"/>
      <c r="O39" s="160"/>
      <c r="P39" s="190"/>
      <c r="Q39" s="236"/>
      <c r="R39" s="237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45" t="s">
        <v>431</v>
      </c>
      <c r="AU39" s="146"/>
      <c r="AV39" s="146" t="s">
        <v>416</v>
      </c>
      <c r="AW39" s="146"/>
      <c r="AX39" s="146"/>
      <c r="AY39" s="147"/>
      <c r="AZ39" s="280"/>
      <c r="BA39" s="293"/>
      <c r="BB39" s="279"/>
    </row>
    <row r="40" spans="1:54" ht="12.75">
      <c r="A40" s="144"/>
      <c r="B40" s="144" t="s">
        <v>222</v>
      </c>
      <c r="C40" s="169"/>
      <c r="D40" s="228"/>
      <c r="E40" s="228"/>
      <c r="F40" s="164"/>
      <c r="G40" s="227"/>
      <c r="H40" s="169"/>
      <c r="I40" s="164"/>
      <c r="J40" s="120"/>
      <c r="K40" s="160"/>
      <c r="L40" s="160"/>
      <c r="M40" s="160"/>
      <c r="N40" s="160"/>
      <c r="O40" s="160"/>
      <c r="P40" s="190"/>
      <c r="Q40" s="236"/>
      <c r="R40" s="237"/>
      <c r="S40" s="239"/>
      <c r="T40" s="268"/>
      <c r="U40" s="160"/>
      <c r="V40" s="160"/>
      <c r="W40" s="188"/>
      <c r="X40" s="188"/>
      <c r="Y40" s="269"/>
      <c r="Z40" s="160"/>
      <c r="AA40" s="19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45"/>
      <c r="AU40" s="146"/>
      <c r="AV40" s="146"/>
      <c r="AW40" s="146"/>
      <c r="AX40" s="146"/>
      <c r="AY40" s="147"/>
      <c r="AZ40" s="280"/>
      <c r="BA40" s="293"/>
      <c r="BB40" s="279"/>
    </row>
    <row r="41" spans="1:54" ht="12.75">
      <c r="A41" s="143" t="s">
        <v>231</v>
      </c>
      <c r="B41" s="143" t="s">
        <v>242</v>
      </c>
      <c r="C41" s="197">
        <v>623125794</v>
      </c>
      <c r="D41" s="325">
        <v>76.8268</v>
      </c>
      <c r="E41" s="325">
        <v>77.4504</v>
      </c>
      <c r="F41" s="175">
        <v>1800</v>
      </c>
      <c r="G41" s="326">
        <f t="shared" si="1"/>
        <v>0.6235999999999962</v>
      </c>
      <c r="H41" s="171"/>
      <c r="I41" s="175">
        <f>ROUND(G41*F41,0)</f>
        <v>1122</v>
      </c>
      <c r="J41" s="120"/>
      <c r="K41" s="160"/>
      <c r="L41" s="160"/>
      <c r="M41" s="160"/>
      <c r="N41" s="160"/>
      <c r="O41" s="160"/>
      <c r="P41" s="190"/>
      <c r="Q41" s="236"/>
      <c r="R41" s="237"/>
      <c r="S41" s="239"/>
      <c r="T41" s="268"/>
      <c r="U41" s="160"/>
      <c r="V41" s="160"/>
      <c r="W41" s="188"/>
      <c r="X41" s="188"/>
      <c r="Y41" s="269"/>
      <c r="Z41" s="160"/>
      <c r="AA41" s="19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45"/>
      <c r="AU41" s="146"/>
      <c r="AV41" s="146"/>
      <c r="AW41" s="146"/>
      <c r="AX41" s="146"/>
      <c r="AY41" s="147"/>
      <c r="AZ41" s="280"/>
      <c r="BA41" s="293"/>
      <c r="BB41" s="279"/>
    </row>
    <row r="42" spans="1:54" ht="12.75">
      <c r="A42" s="144"/>
      <c r="B42" s="144" t="s">
        <v>222</v>
      </c>
      <c r="C42" s="169"/>
      <c r="D42" s="228"/>
      <c r="E42" s="228"/>
      <c r="F42" s="164"/>
      <c r="G42" s="227"/>
      <c r="H42" s="169"/>
      <c r="I42" s="164"/>
      <c r="J42" s="120"/>
      <c r="K42" s="160"/>
      <c r="L42" s="160"/>
      <c r="M42" s="160"/>
      <c r="N42" s="160"/>
      <c r="O42" s="160"/>
      <c r="P42" s="190"/>
      <c r="Q42" s="236"/>
      <c r="R42" s="237"/>
      <c r="S42" s="268"/>
      <c r="T42" s="239"/>
      <c r="U42" s="160"/>
      <c r="V42" s="160"/>
      <c r="W42" s="160"/>
      <c r="X42" s="160"/>
      <c r="Y42" s="160"/>
      <c r="Z42" s="160"/>
      <c r="AA42" s="19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45"/>
      <c r="AU42" s="146"/>
      <c r="AV42" s="146"/>
      <c r="AW42" s="146"/>
      <c r="AX42" s="146"/>
      <c r="AY42" s="147"/>
      <c r="AZ42" s="280"/>
      <c r="BA42" s="287"/>
      <c r="BB42" s="279"/>
    </row>
    <row r="43" spans="1:54" ht="12.75">
      <c r="A43" s="143" t="s">
        <v>232</v>
      </c>
      <c r="B43" s="143" t="s">
        <v>243</v>
      </c>
      <c r="C43" s="197">
        <v>623125736</v>
      </c>
      <c r="D43" s="325">
        <v>4188.1885</v>
      </c>
      <c r="E43" s="325">
        <v>4223.6014</v>
      </c>
      <c r="F43" s="175">
        <v>1200</v>
      </c>
      <c r="G43" s="326">
        <f t="shared" si="1"/>
        <v>35.412899999999354</v>
      </c>
      <c r="H43" s="171"/>
      <c r="I43" s="175">
        <f>ROUND(G43*F43,0)</f>
        <v>42495</v>
      </c>
      <c r="J43" s="120"/>
      <c r="K43" s="160"/>
      <c r="L43" s="160"/>
      <c r="M43" s="160"/>
      <c r="N43" s="160"/>
      <c r="O43" s="160"/>
      <c r="P43" s="190"/>
      <c r="Q43" s="236"/>
      <c r="R43" s="237"/>
      <c r="S43" s="239"/>
      <c r="T43" s="268"/>
      <c r="U43" s="160"/>
      <c r="V43" s="160"/>
      <c r="W43" s="188"/>
      <c r="X43" s="188"/>
      <c r="Y43" s="269"/>
      <c r="Z43" s="160"/>
      <c r="AA43" s="19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45" t="s">
        <v>323</v>
      </c>
      <c r="AU43" s="146"/>
      <c r="AV43" s="146"/>
      <c r="AW43" s="146"/>
      <c r="AX43" s="146"/>
      <c r="AY43" s="147"/>
      <c r="AZ43" s="280"/>
      <c r="BA43" s="293"/>
      <c r="BB43" s="279"/>
    </row>
    <row r="44" spans="1:54" ht="12.75">
      <c r="A44" s="144"/>
      <c r="B44" s="144" t="s">
        <v>222</v>
      </c>
      <c r="C44" s="168"/>
      <c r="D44" s="228"/>
      <c r="E44" s="228"/>
      <c r="F44" s="164"/>
      <c r="G44" s="227"/>
      <c r="H44" s="169"/>
      <c r="I44" s="164"/>
      <c r="J44" s="160"/>
      <c r="K44" s="160"/>
      <c r="L44" s="160"/>
      <c r="M44" s="160"/>
      <c r="N44" s="160"/>
      <c r="O44" s="160"/>
      <c r="P44" s="190"/>
      <c r="Q44" s="236"/>
      <c r="R44" s="237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45"/>
      <c r="AU44" s="146"/>
      <c r="AV44" s="146"/>
      <c r="AW44" s="146"/>
      <c r="AX44" s="146"/>
      <c r="AY44" s="147"/>
      <c r="AZ44" s="280"/>
      <c r="BA44" s="287"/>
      <c r="BB44" s="279"/>
    </row>
    <row r="45" spans="1:54" ht="12.75">
      <c r="A45" s="143" t="s">
        <v>233</v>
      </c>
      <c r="B45" s="145" t="s">
        <v>234</v>
      </c>
      <c r="C45" s="197">
        <v>1110171156</v>
      </c>
      <c r="D45" s="325">
        <v>11937.7976</v>
      </c>
      <c r="E45" s="325">
        <v>12109.1984</v>
      </c>
      <c r="F45" s="175">
        <v>40</v>
      </c>
      <c r="G45" s="326">
        <f>E45-D45</f>
        <v>171.40079999999944</v>
      </c>
      <c r="H45" s="171"/>
      <c r="I45" s="175">
        <f>ROUND(G45*F45,0)</f>
        <v>6856</v>
      </c>
      <c r="J45" s="160"/>
      <c r="K45" s="160"/>
      <c r="L45" s="160"/>
      <c r="M45" s="160"/>
      <c r="N45" s="160"/>
      <c r="O45" s="160"/>
      <c r="P45" s="190"/>
      <c r="Q45" s="238"/>
      <c r="R45" s="237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45" t="s">
        <v>3</v>
      </c>
      <c r="AU45" s="146"/>
      <c r="AV45" s="146"/>
      <c r="AW45" s="146"/>
      <c r="AX45" s="146"/>
      <c r="AY45" s="147"/>
      <c r="AZ45" s="280"/>
      <c r="BA45" s="287"/>
      <c r="BB45" s="279"/>
    </row>
    <row r="46" spans="1:54" ht="12.75">
      <c r="A46" s="144"/>
      <c r="B46" s="103" t="s">
        <v>222</v>
      </c>
      <c r="C46" s="198"/>
      <c r="D46" s="378"/>
      <c r="E46" s="325"/>
      <c r="F46" s="175"/>
      <c r="G46" s="326"/>
      <c r="H46" s="171"/>
      <c r="I46" s="175"/>
      <c r="J46" s="160"/>
      <c r="K46" s="160"/>
      <c r="L46" s="160"/>
      <c r="M46" s="160"/>
      <c r="N46" s="160"/>
      <c r="O46" s="160"/>
      <c r="P46" s="190"/>
      <c r="Q46" s="236"/>
      <c r="R46" s="237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45"/>
      <c r="AU46" s="146"/>
      <c r="AV46" s="146" t="s">
        <v>330</v>
      </c>
      <c r="AW46" s="146"/>
      <c r="AX46" s="146"/>
      <c r="AY46" s="147"/>
      <c r="AZ46" s="280"/>
      <c r="BA46" s="298"/>
      <c r="BB46" s="279"/>
    </row>
    <row r="47" spans="1:54" ht="12.75">
      <c r="A47" s="201"/>
      <c r="B47" s="150"/>
      <c r="C47" s="191"/>
      <c r="D47" s="199"/>
      <c r="E47" s="200"/>
      <c r="F47" s="200"/>
      <c r="G47" s="215" t="s">
        <v>244</v>
      </c>
      <c r="H47" s="151"/>
      <c r="I47" s="235">
        <f>ROUND((SUM(I25:I46)+I20),0)</f>
        <v>3074900</v>
      </c>
      <c r="J47" s="160"/>
      <c r="K47" s="160"/>
      <c r="L47" s="160"/>
      <c r="M47" s="160"/>
      <c r="N47" s="160"/>
      <c r="O47" s="160"/>
      <c r="P47" s="190"/>
      <c r="Q47" s="238"/>
      <c r="R47" s="237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45"/>
      <c r="AU47" s="146"/>
      <c r="AV47" s="146"/>
      <c r="AW47" s="146"/>
      <c r="AX47" s="146"/>
      <c r="AY47" s="147"/>
      <c r="AZ47" s="280"/>
      <c r="BA47" s="287"/>
      <c r="BB47" s="279"/>
    </row>
    <row r="48" spans="1:54" ht="12.75">
      <c r="A48" s="143" t="s">
        <v>247</v>
      </c>
      <c r="B48" s="145" t="s">
        <v>245</v>
      </c>
      <c r="C48" s="202"/>
      <c r="D48" s="202"/>
      <c r="E48" s="203"/>
      <c r="F48" s="203"/>
      <c r="G48" s="204"/>
      <c r="H48" s="146"/>
      <c r="I48" s="205"/>
      <c r="J48" s="160"/>
      <c r="K48" s="160"/>
      <c r="L48" s="160"/>
      <c r="M48" s="160"/>
      <c r="N48" s="160"/>
      <c r="O48" s="160"/>
      <c r="P48" s="190"/>
      <c r="Q48" s="236"/>
      <c r="R48" s="237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45"/>
      <c r="AU48" s="146"/>
      <c r="AV48" s="146"/>
      <c r="AW48" s="146"/>
      <c r="AX48" s="146"/>
      <c r="AY48" s="147"/>
      <c r="AZ48" s="280"/>
      <c r="BA48" s="298"/>
      <c r="BB48" s="279"/>
    </row>
    <row r="49" spans="1:54" ht="12.75">
      <c r="A49" s="173"/>
      <c r="B49" s="159" t="s">
        <v>246</v>
      </c>
      <c r="C49" s="206"/>
      <c r="D49" s="191"/>
      <c r="E49" s="207"/>
      <c r="F49" s="207"/>
      <c r="G49" s="208"/>
      <c r="H49" s="148"/>
      <c r="I49" s="209"/>
      <c r="J49" s="160"/>
      <c r="K49" s="160"/>
      <c r="L49" s="239"/>
      <c r="M49" s="160"/>
      <c r="N49" s="160"/>
      <c r="O49" s="160"/>
      <c r="P49" s="190"/>
      <c r="Q49" s="236"/>
      <c r="R49" s="237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45"/>
      <c r="AU49" s="146"/>
      <c r="AV49" s="146" t="s">
        <v>330</v>
      </c>
      <c r="AW49" s="146"/>
      <c r="AX49" s="146"/>
      <c r="AY49" s="147"/>
      <c r="AZ49" s="280"/>
      <c r="BA49" s="293"/>
      <c r="BB49" s="279"/>
    </row>
    <row r="50" spans="1:54" ht="12.75">
      <c r="A50" s="145" t="s">
        <v>248</v>
      </c>
      <c r="B50" s="143" t="s">
        <v>484</v>
      </c>
      <c r="C50" s="304"/>
      <c r="D50" s="211"/>
      <c r="E50" s="211"/>
      <c r="F50" s="155"/>
      <c r="G50" s="212"/>
      <c r="H50" s="152"/>
      <c r="I50" s="155"/>
      <c r="J50" s="160"/>
      <c r="K50" s="160"/>
      <c r="L50" s="160"/>
      <c r="M50" s="160"/>
      <c r="N50" s="160"/>
      <c r="O50" s="160"/>
      <c r="P50" s="160"/>
      <c r="Q50" s="160"/>
      <c r="R50" s="16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50"/>
      <c r="AU50" s="150"/>
      <c r="AV50" s="270" t="s">
        <v>534</v>
      </c>
      <c r="AW50" s="150"/>
      <c r="AX50" s="150"/>
      <c r="AY50" s="151"/>
      <c r="AZ50" s="280"/>
      <c r="BA50" s="293"/>
      <c r="BB50" s="279"/>
    </row>
    <row r="51" spans="1:54" ht="12.75">
      <c r="A51" s="159"/>
      <c r="B51" s="173"/>
      <c r="C51" s="305">
        <v>611127627</v>
      </c>
      <c r="D51" s="302">
        <v>5955.488</v>
      </c>
      <c r="E51" s="302">
        <v>6002.3564</v>
      </c>
      <c r="F51" s="155">
        <v>40</v>
      </c>
      <c r="G51" s="252">
        <f>E51-D51</f>
        <v>46.86839999999938</v>
      </c>
      <c r="H51" s="155"/>
      <c r="I51" s="155">
        <f>ROUND(F51*G51+H51,0)</f>
        <v>1875</v>
      </c>
      <c r="J51" s="160"/>
      <c r="K51" s="160"/>
      <c r="L51" s="160"/>
      <c r="M51" s="160"/>
      <c r="N51" s="160"/>
      <c r="O51" s="160"/>
      <c r="P51" s="160"/>
      <c r="Q51" s="160"/>
      <c r="R51" s="16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60"/>
      <c r="AU51" s="120"/>
      <c r="AV51" s="120"/>
      <c r="AW51" s="120"/>
      <c r="AX51" s="120"/>
      <c r="AY51" s="120"/>
      <c r="AZ51" s="120"/>
      <c r="BA51" s="120"/>
      <c r="BB51" s="120"/>
    </row>
    <row r="52" spans="1:54" ht="12.75">
      <c r="A52" s="159"/>
      <c r="B52" s="144" t="s">
        <v>467</v>
      </c>
      <c r="C52" s="305"/>
      <c r="D52" s="306"/>
      <c r="E52" s="306"/>
      <c r="F52" s="155"/>
      <c r="G52" s="212"/>
      <c r="H52" s="155"/>
      <c r="I52" s="155"/>
      <c r="J52" s="160"/>
      <c r="K52" s="160"/>
      <c r="L52" s="160"/>
      <c r="M52" s="160"/>
      <c r="N52" s="160"/>
      <c r="O52" s="160"/>
      <c r="P52" s="160"/>
      <c r="Q52" s="160"/>
      <c r="R52" s="16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60"/>
      <c r="AU52" s="120"/>
      <c r="AV52" s="120"/>
      <c r="AW52" s="120"/>
      <c r="AX52" s="120"/>
      <c r="AY52" s="120"/>
      <c r="AZ52" s="120"/>
      <c r="BA52" s="120"/>
      <c r="BB52" s="120"/>
    </row>
    <row r="53" spans="1:54" ht="12.75">
      <c r="A53" s="143" t="s">
        <v>251</v>
      </c>
      <c r="B53" s="161"/>
      <c r="C53" s="213">
        <v>810120245</v>
      </c>
      <c r="D53" s="302">
        <v>3659.8257</v>
      </c>
      <c r="E53" s="302">
        <v>3716.0404</v>
      </c>
      <c r="F53" s="155">
        <v>3600</v>
      </c>
      <c r="G53" s="252">
        <f>E53-D53</f>
        <v>56.21469999999999</v>
      </c>
      <c r="H53" s="155"/>
      <c r="I53" s="155">
        <f>ROUND(F53*G53+H53,0)</f>
        <v>202373</v>
      </c>
      <c r="J53" s="160"/>
      <c r="K53" s="160"/>
      <c r="L53" s="160"/>
      <c r="M53" s="160"/>
      <c r="N53" s="160"/>
      <c r="O53" s="160"/>
      <c r="P53" s="160"/>
      <c r="Q53" s="160"/>
      <c r="R53" s="16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60" t="s">
        <v>580</v>
      </c>
      <c r="AU53" s="120"/>
      <c r="AV53" s="120"/>
      <c r="AW53" s="120"/>
      <c r="AX53" s="120"/>
      <c r="AY53" s="120"/>
      <c r="AZ53" s="120"/>
      <c r="BA53" s="120"/>
      <c r="BB53" s="120"/>
    </row>
    <row r="54" spans="1:54" ht="12.75">
      <c r="A54" s="173"/>
      <c r="B54" s="161" t="s">
        <v>494</v>
      </c>
      <c r="C54" s="213"/>
      <c r="D54" s="302"/>
      <c r="E54" s="302"/>
      <c r="F54" s="155"/>
      <c r="G54" s="252"/>
      <c r="H54" s="96"/>
      <c r="I54" s="155"/>
      <c r="J54" s="160"/>
      <c r="K54" s="160"/>
      <c r="L54" s="160"/>
      <c r="M54" s="160"/>
      <c r="N54" s="160"/>
      <c r="O54" s="160"/>
      <c r="P54" s="160"/>
      <c r="Q54" s="160"/>
      <c r="R54" s="16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60"/>
      <c r="AU54" s="120"/>
      <c r="AV54" s="120"/>
      <c r="AW54" s="120"/>
      <c r="AX54" s="120"/>
      <c r="AY54" s="120"/>
      <c r="AZ54" s="120"/>
      <c r="BA54" s="120"/>
      <c r="BB54" s="120"/>
    </row>
    <row r="55" spans="1:54" ht="12.75">
      <c r="A55" s="173"/>
      <c r="B55" s="161"/>
      <c r="C55" s="210">
        <v>4050284</v>
      </c>
      <c r="D55" s="230">
        <v>4193.7433</v>
      </c>
      <c r="E55" s="230">
        <v>4199.893</v>
      </c>
      <c r="F55" s="155">
        <v>3600</v>
      </c>
      <c r="G55" s="253">
        <f>E55-D55</f>
        <v>6.149699999999939</v>
      </c>
      <c r="H55" s="96"/>
      <c r="I55" s="155">
        <f>ROUND(F55*G55+H55,0)</f>
        <v>22139</v>
      </c>
      <c r="J55" s="160"/>
      <c r="K55" s="160"/>
      <c r="L55" s="160"/>
      <c r="M55" s="160"/>
      <c r="N55" s="160"/>
      <c r="O55" s="160"/>
      <c r="P55" s="160"/>
      <c r="Q55" s="160"/>
      <c r="R55" s="16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60"/>
      <c r="AU55" s="120"/>
      <c r="AV55" s="120"/>
      <c r="AW55" s="120"/>
      <c r="AX55" s="120"/>
      <c r="AY55" s="120"/>
      <c r="AZ55" s="120"/>
      <c r="BA55" s="120"/>
      <c r="BB55" s="120"/>
    </row>
    <row r="56" spans="1:54" ht="12.75">
      <c r="A56" s="144"/>
      <c r="B56" s="149"/>
      <c r="C56" s="210"/>
      <c r="D56" s="230"/>
      <c r="E56" s="230"/>
      <c r="F56" s="155"/>
      <c r="G56" s="253"/>
      <c r="H56" s="96"/>
      <c r="I56" s="155"/>
      <c r="J56" s="160"/>
      <c r="K56" s="160"/>
      <c r="L56" s="160"/>
      <c r="M56" s="160"/>
      <c r="N56" s="160"/>
      <c r="O56" s="160"/>
      <c r="P56" s="160"/>
      <c r="Q56" s="160"/>
      <c r="R56" s="24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60"/>
      <c r="AU56" s="120"/>
      <c r="AV56" s="120"/>
      <c r="AW56" s="120"/>
      <c r="AX56" s="120"/>
      <c r="AY56" s="120"/>
      <c r="AZ56" s="120"/>
      <c r="BA56" s="120"/>
      <c r="BB56" s="120"/>
    </row>
    <row r="57" spans="1:54" ht="12.75">
      <c r="A57" s="173" t="s">
        <v>252</v>
      </c>
      <c r="B57" s="143" t="s">
        <v>218</v>
      </c>
      <c r="C57" s="152"/>
      <c r="D57" s="211"/>
      <c r="E57" s="211"/>
      <c r="F57" s="155"/>
      <c r="G57" s="212"/>
      <c r="H57" s="96"/>
      <c r="I57" s="155"/>
      <c r="J57" s="160"/>
      <c r="K57" s="120"/>
      <c r="L57" s="120"/>
      <c r="M57" s="120"/>
      <c r="N57" s="120"/>
      <c r="O57" s="120"/>
      <c r="P57" s="120"/>
      <c r="Q57" s="120"/>
      <c r="R57" s="241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60"/>
      <c r="AU57" s="120"/>
      <c r="AV57" s="120"/>
      <c r="AW57" s="120"/>
      <c r="AX57" s="120"/>
      <c r="AY57" s="120"/>
      <c r="AZ57" s="120"/>
      <c r="BA57" s="120"/>
      <c r="BB57" s="271"/>
    </row>
    <row r="58" spans="1:54" ht="12.75">
      <c r="A58" s="307"/>
      <c r="B58" s="173" t="s">
        <v>217</v>
      </c>
      <c r="C58" s="305">
        <v>611127492</v>
      </c>
      <c r="D58" s="302">
        <v>20036.7116</v>
      </c>
      <c r="E58" s="302">
        <v>20167.4204</v>
      </c>
      <c r="F58" s="155">
        <v>20</v>
      </c>
      <c r="G58" s="252">
        <f>E58-D58</f>
        <v>130.70880000000034</v>
      </c>
      <c r="H58" s="155"/>
      <c r="I58" s="155">
        <f>ROUND(F58*G58+H58,0)</f>
        <v>2614</v>
      </c>
      <c r="J58" s="16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60"/>
      <c r="AU58" s="120"/>
      <c r="AV58" s="120" t="s">
        <v>144</v>
      </c>
      <c r="AW58" s="120"/>
      <c r="AX58" s="120"/>
      <c r="AY58" s="120"/>
      <c r="AZ58" s="120"/>
      <c r="BA58" s="120"/>
      <c r="BB58" s="272">
        <f>BA9</f>
        <v>3.747224014337369</v>
      </c>
    </row>
    <row r="59" spans="1:54" ht="12.75">
      <c r="A59" s="145" t="s">
        <v>253</v>
      </c>
      <c r="B59" s="143" t="s">
        <v>485</v>
      </c>
      <c r="C59" s="309"/>
      <c r="D59" s="211"/>
      <c r="E59" s="211"/>
      <c r="F59" s="155"/>
      <c r="G59" s="212"/>
      <c r="H59" s="96"/>
      <c r="I59" s="155"/>
      <c r="J59" s="160"/>
      <c r="K59" s="160"/>
      <c r="L59" s="160"/>
      <c r="M59" s="160"/>
      <c r="N59" s="160"/>
      <c r="O59" s="160"/>
      <c r="P59" s="160"/>
      <c r="Q59" s="160"/>
      <c r="R59" s="16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60"/>
      <c r="AU59" s="120"/>
      <c r="AV59" s="120"/>
      <c r="AW59" s="120"/>
      <c r="AX59" s="120"/>
      <c r="AY59" s="120"/>
      <c r="AZ59" s="120"/>
      <c r="BA59" s="120"/>
      <c r="BB59" s="120"/>
    </row>
    <row r="60" spans="1:54" ht="12.75">
      <c r="A60" s="308"/>
      <c r="B60" s="168" t="s">
        <v>546</v>
      </c>
      <c r="C60" s="305">
        <v>611127702</v>
      </c>
      <c r="D60" s="302">
        <v>31189.3272</v>
      </c>
      <c r="E60" s="302">
        <v>31422.9396</v>
      </c>
      <c r="F60" s="155">
        <v>60</v>
      </c>
      <c r="G60" s="252">
        <f>E60-D60</f>
        <v>233.6124000000018</v>
      </c>
      <c r="H60" s="96"/>
      <c r="I60" s="155">
        <f>ROUND(F60*G60+H60,0)</f>
        <v>14017</v>
      </c>
      <c r="J60" s="160"/>
      <c r="K60" s="160"/>
      <c r="L60" s="160"/>
      <c r="M60" s="160"/>
      <c r="N60" s="160"/>
      <c r="O60" s="160"/>
      <c r="P60" s="160"/>
      <c r="Q60" s="160"/>
      <c r="R60" s="16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60"/>
      <c r="AU60" s="160"/>
      <c r="AV60" s="160"/>
      <c r="AW60" s="160"/>
      <c r="AX60" s="160"/>
      <c r="AY60" s="160"/>
      <c r="AZ60" s="160"/>
      <c r="BA60" s="160"/>
      <c r="BB60" s="160"/>
    </row>
    <row r="61" spans="1:54" ht="13.5">
      <c r="A61" s="159"/>
      <c r="B61" s="168" t="s">
        <v>547</v>
      </c>
      <c r="C61" s="305">
        <v>611127555</v>
      </c>
      <c r="D61" s="302">
        <v>8270.364</v>
      </c>
      <c r="E61" s="302">
        <v>8859.9732</v>
      </c>
      <c r="F61" s="155">
        <v>60</v>
      </c>
      <c r="G61" s="252">
        <f>E61-D61</f>
        <v>589.6092000000008</v>
      </c>
      <c r="H61" s="96"/>
      <c r="I61" s="155">
        <f>ROUND(F61*G61+H61,0)</f>
        <v>35377</v>
      </c>
      <c r="J61" s="160"/>
      <c r="K61" s="160"/>
      <c r="L61" s="160"/>
      <c r="M61" s="160"/>
      <c r="N61" s="160"/>
      <c r="O61" s="242"/>
      <c r="P61" s="243"/>
      <c r="Q61" s="160"/>
      <c r="R61" s="16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60"/>
      <c r="AU61" s="160"/>
      <c r="AV61" s="160"/>
      <c r="AW61" s="160"/>
      <c r="AX61" s="160"/>
      <c r="AY61" s="242"/>
      <c r="AZ61" s="243"/>
      <c r="BA61" s="160"/>
      <c r="BB61" s="160"/>
    </row>
    <row r="62" spans="1:54" ht="12.75">
      <c r="A62" s="145" t="s">
        <v>258</v>
      </c>
      <c r="B62" s="143" t="s">
        <v>486</v>
      </c>
      <c r="C62" s="310"/>
      <c r="D62" s="232"/>
      <c r="E62" s="232"/>
      <c r="F62" s="155"/>
      <c r="G62" s="212"/>
      <c r="H62" s="96"/>
      <c r="I62" s="155"/>
      <c r="J62" s="160"/>
      <c r="K62" s="160"/>
      <c r="L62" s="160"/>
      <c r="M62" s="160"/>
      <c r="N62" s="160"/>
      <c r="O62" s="160"/>
      <c r="P62" s="160"/>
      <c r="Q62" s="160"/>
      <c r="R62" s="16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60"/>
      <c r="AU62" s="160"/>
      <c r="AV62" s="160"/>
      <c r="AW62" s="160"/>
      <c r="AX62" s="160"/>
      <c r="AY62" s="160"/>
      <c r="AZ62" s="160"/>
      <c r="BA62" s="160"/>
      <c r="BB62" s="160"/>
    </row>
    <row r="63" spans="1:54" ht="12.75">
      <c r="A63" s="308"/>
      <c r="B63" s="173"/>
      <c r="C63" s="305">
        <v>1110171163</v>
      </c>
      <c r="D63" s="302">
        <v>836.232</v>
      </c>
      <c r="E63" s="302">
        <v>941.3748</v>
      </c>
      <c r="F63" s="155">
        <v>60</v>
      </c>
      <c r="G63" s="252">
        <f>E63-D63</f>
        <v>105.14280000000008</v>
      </c>
      <c r="H63" s="96"/>
      <c r="I63" s="155">
        <f>ROUND(F63*G63+H63,0)</f>
        <v>6309</v>
      </c>
      <c r="J63" s="243"/>
      <c r="K63" s="160"/>
      <c r="L63" s="160"/>
      <c r="M63" s="160"/>
      <c r="N63" s="160"/>
      <c r="O63" s="160"/>
      <c r="P63" s="189"/>
      <c r="Q63" s="160"/>
      <c r="R63" s="244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243"/>
      <c r="AU63" s="160"/>
      <c r="AV63" s="160"/>
      <c r="AW63" s="160"/>
      <c r="AX63" s="160"/>
      <c r="AY63" s="160"/>
      <c r="AZ63" s="189"/>
      <c r="BA63" s="160"/>
      <c r="BB63" s="244"/>
    </row>
    <row r="64" spans="1:54" ht="12.75">
      <c r="A64" s="159"/>
      <c r="B64" s="173"/>
      <c r="C64" s="305"/>
      <c r="D64" s="302"/>
      <c r="E64" s="302"/>
      <c r="F64" s="155"/>
      <c r="G64" s="252"/>
      <c r="H64" s="96"/>
      <c r="I64" s="155"/>
      <c r="J64" s="243"/>
      <c r="K64" s="160"/>
      <c r="L64" s="160"/>
      <c r="M64" s="160"/>
      <c r="N64" s="160"/>
      <c r="O64" s="160"/>
      <c r="P64" s="189"/>
      <c r="Q64" s="160"/>
      <c r="R64" s="244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243"/>
      <c r="AU64" s="160"/>
      <c r="AV64" s="160"/>
      <c r="AW64" s="160"/>
      <c r="AX64" s="160"/>
      <c r="AY64" s="160"/>
      <c r="AZ64" s="189"/>
      <c r="BA64" s="160"/>
      <c r="BB64" s="244"/>
    </row>
    <row r="65" spans="1:54" ht="12.75">
      <c r="A65" s="145" t="s">
        <v>260</v>
      </c>
      <c r="B65" s="143" t="s">
        <v>487</v>
      </c>
      <c r="C65" s="311"/>
      <c r="D65" s="232"/>
      <c r="E65" s="232"/>
      <c r="F65" s="155"/>
      <c r="G65" s="212"/>
      <c r="H65" s="96"/>
      <c r="I65" s="155"/>
      <c r="J65" s="243"/>
      <c r="K65" s="160"/>
      <c r="L65" s="160"/>
      <c r="M65" s="160"/>
      <c r="N65" s="160"/>
      <c r="O65" s="160"/>
      <c r="P65" s="189"/>
      <c r="Q65" s="160"/>
      <c r="R65" s="244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243"/>
      <c r="AU65" s="160"/>
      <c r="AV65" s="160"/>
      <c r="AW65" s="160"/>
      <c r="AX65" s="160"/>
      <c r="AY65" s="160"/>
      <c r="AZ65" s="189"/>
      <c r="BA65" s="160"/>
      <c r="BB65" s="244"/>
    </row>
    <row r="66" spans="1:54" ht="12.75">
      <c r="A66" s="159"/>
      <c r="B66" s="173"/>
      <c r="C66" s="305">
        <v>1110171170</v>
      </c>
      <c r="D66" s="302">
        <v>144.9604</v>
      </c>
      <c r="E66" s="302">
        <v>154.5552</v>
      </c>
      <c r="F66" s="155">
        <v>40</v>
      </c>
      <c r="G66" s="252">
        <f>E66-D66</f>
        <v>9.59480000000002</v>
      </c>
      <c r="H66" s="155"/>
      <c r="I66" s="155">
        <f>ROUND(F66*G66+H66,0)</f>
        <v>384</v>
      </c>
      <c r="J66" s="243"/>
      <c r="K66" s="160"/>
      <c r="L66" s="160"/>
      <c r="M66" s="160"/>
      <c r="N66" s="160"/>
      <c r="O66" s="160"/>
      <c r="P66" s="189"/>
      <c r="Q66" s="160"/>
      <c r="R66" s="244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243"/>
      <c r="AU66" s="160"/>
      <c r="AV66" s="160"/>
      <c r="AW66" s="160"/>
      <c r="AX66" s="160"/>
      <c r="AY66" s="160"/>
      <c r="AZ66" s="189"/>
      <c r="BA66" s="160"/>
      <c r="BB66" s="244"/>
    </row>
    <row r="67" spans="1:54" ht="12.75">
      <c r="A67" s="159"/>
      <c r="B67" s="173"/>
      <c r="C67" s="305"/>
      <c r="D67" s="302"/>
      <c r="E67" s="302"/>
      <c r="F67" s="155"/>
      <c r="G67" s="252"/>
      <c r="H67" s="155"/>
      <c r="I67" s="155"/>
      <c r="J67" s="16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60"/>
      <c r="AU67" s="160"/>
      <c r="AV67" s="160"/>
      <c r="AW67" s="160"/>
      <c r="AX67" s="160"/>
      <c r="AY67" s="160"/>
      <c r="AZ67" s="160"/>
      <c r="BA67" s="160"/>
      <c r="BB67" s="160"/>
    </row>
    <row r="68" spans="1:54" ht="12.75">
      <c r="A68" s="145" t="s">
        <v>261</v>
      </c>
      <c r="B68" s="143" t="s">
        <v>550</v>
      </c>
      <c r="C68" s="305">
        <v>611126342</v>
      </c>
      <c r="D68" s="302">
        <v>25782.5391</v>
      </c>
      <c r="E68" s="302">
        <v>25782.5391</v>
      </c>
      <c r="F68" s="155">
        <v>1800</v>
      </c>
      <c r="G68" s="252">
        <f>E68-D68</f>
        <v>0</v>
      </c>
      <c r="H68" s="155"/>
      <c r="I68" s="155">
        <f>ROUND(F68*G68+H68,0)</f>
        <v>0</v>
      </c>
      <c r="J68" s="160"/>
      <c r="K68" s="160"/>
      <c r="L68" s="160"/>
      <c r="M68" s="160"/>
      <c r="N68" s="160"/>
      <c r="O68" s="160"/>
      <c r="P68" s="160"/>
      <c r="Q68" s="160"/>
      <c r="R68" s="16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60"/>
      <c r="AU68" s="160"/>
      <c r="AV68" s="160"/>
      <c r="AW68" s="160"/>
      <c r="AX68" s="160"/>
      <c r="AY68" s="160"/>
      <c r="AZ68" s="160"/>
      <c r="BA68" s="160"/>
      <c r="BB68" s="160"/>
    </row>
    <row r="69" spans="1:54" ht="13.5">
      <c r="A69" s="159"/>
      <c r="B69" s="173" t="s">
        <v>551</v>
      </c>
      <c r="C69" s="305">
        <v>611126404</v>
      </c>
      <c r="D69" s="302">
        <v>557.8863</v>
      </c>
      <c r="E69" s="302">
        <v>564.5463</v>
      </c>
      <c r="F69" s="155">
        <v>1800</v>
      </c>
      <c r="G69" s="252">
        <f>E69-D69</f>
        <v>6.659999999999968</v>
      </c>
      <c r="H69" s="155"/>
      <c r="I69" s="155">
        <f>ROUND((F69*G69+H69),0)</f>
        <v>11988</v>
      </c>
      <c r="J69" s="160"/>
      <c r="K69" s="160"/>
      <c r="L69" s="160"/>
      <c r="M69" s="160"/>
      <c r="N69" s="160"/>
      <c r="O69" s="242"/>
      <c r="P69" s="243"/>
      <c r="Q69" s="160"/>
      <c r="R69" s="16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60"/>
      <c r="AU69" s="160"/>
      <c r="AV69" s="160"/>
      <c r="AW69" s="160"/>
      <c r="AX69" s="160"/>
      <c r="AY69" s="242"/>
      <c r="AZ69" s="243"/>
      <c r="BA69" s="160"/>
      <c r="BB69" s="160"/>
    </row>
    <row r="70" spans="1:54" ht="12.75">
      <c r="A70" s="103"/>
      <c r="B70" s="144" t="s">
        <v>509</v>
      </c>
      <c r="C70" s="305">
        <v>611126334</v>
      </c>
      <c r="D70" s="302">
        <v>2.3724</v>
      </c>
      <c r="E70" s="302">
        <v>2.3724</v>
      </c>
      <c r="F70" s="155">
        <v>1800</v>
      </c>
      <c r="G70" s="252">
        <f>E70-D70</f>
        <v>0</v>
      </c>
      <c r="H70" s="96"/>
      <c r="I70" s="155">
        <f>ROUND(F70*G70+H70,0)</f>
        <v>0</v>
      </c>
      <c r="J70" s="160"/>
      <c r="K70" s="160"/>
      <c r="L70" s="160"/>
      <c r="M70" s="160"/>
      <c r="N70" s="160"/>
      <c r="O70" s="160"/>
      <c r="P70" s="160"/>
      <c r="Q70" s="160"/>
      <c r="R70" s="16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60"/>
      <c r="AU70" s="160"/>
      <c r="AV70" s="160"/>
      <c r="AW70" s="160"/>
      <c r="AX70" s="160"/>
      <c r="AY70" s="160"/>
      <c r="AZ70" s="160"/>
      <c r="BA70" s="160"/>
      <c r="BB70" s="160"/>
    </row>
    <row r="71" spans="1:54" ht="12.75">
      <c r="A71" s="159" t="s">
        <v>477</v>
      </c>
      <c r="B71" s="173" t="s">
        <v>488</v>
      </c>
      <c r="C71" s="305">
        <v>611127724</v>
      </c>
      <c r="D71" s="302">
        <v>1842.3352</v>
      </c>
      <c r="E71" s="302">
        <v>1860.624</v>
      </c>
      <c r="F71" s="155">
        <v>30</v>
      </c>
      <c r="G71" s="252">
        <f>E71-D71</f>
        <v>18.288800000000037</v>
      </c>
      <c r="H71" s="155"/>
      <c r="I71" s="155">
        <f>ROUND(F71*G71+H71,0)</f>
        <v>549</v>
      </c>
      <c r="J71" s="243"/>
      <c r="K71" s="160"/>
      <c r="L71" s="160"/>
      <c r="M71" s="160"/>
      <c r="N71" s="160"/>
      <c r="O71" s="160"/>
      <c r="P71" s="189"/>
      <c r="Q71" s="160"/>
      <c r="R71" s="244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243"/>
      <c r="AU71" s="160"/>
      <c r="AV71" s="160"/>
      <c r="AW71" s="160"/>
      <c r="AX71" s="160"/>
      <c r="AY71" s="160"/>
      <c r="AZ71" s="189"/>
      <c r="BA71" s="160"/>
      <c r="BB71" s="244"/>
    </row>
    <row r="72" spans="1:54" ht="12.75">
      <c r="A72" s="103"/>
      <c r="B72" s="173" t="s">
        <v>542</v>
      </c>
      <c r="C72" s="305"/>
      <c r="D72" s="306"/>
      <c r="E72" s="306"/>
      <c r="F72" s="155"/>
      <c r="G72" s="212"/>
      <c r="H72" s="155"/>
      <c r="I72" s="155"/>
      <c r="J72" s="243"/>
      <c r="K72" s="160" t="s">
        <v>576</v>
      </c>
      <c r="L72" s="160"/>
      <c r="M72" s="160"/>
      <c r="N72" s="160"/>
      <c r="O72" s="160"/>
      <c r="P72" s="189"/>
      <c r="Q72" s="160"/>
      <c r="R72" s="244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243"/>
      <c r="AU72" s="160"/>
      <c r="AV72" s="160"/>
      <c r="AW72" s="160"/>
      <c r="AX72" s="160"/>
      <c r="AY72" s="160"/>
      <c r="AZ72" s="189"/>
      <c r="BA72" s="160"/>
      <c r="BB72" s="244"/>
    </row>
    <row r="73" spans="1:54" ht="12.75">
      <c r="A73" s="96"/>
      <c r="B73" s="312"/>
      <c r="C73" s="171"/>
      <c r="D73" s="212"/>
      <c r="E73" s="212"/>
      <c r="F73" s="155"/>
      <c r="G73" s="212"/>
      <c r="H73" s="155"/>
      <c r="I73" s="155"/>
      <c r="J73" s="243"/>
      <c r="K73" s="160" t="s">
        <v>577</v>
      </c>
      <c r="L73" s="160"/>
      <c r="M73" s="160"/>
      <c r="N73" s="160"/>
      <c r="O73" s="160"/>
      <c r="P73" s="189"/>
      <c r="Q73" s="160"/>
      <c r="R73" s="244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243"/>
      <c r="AU73" s="160"/>
      <c r="AV73" s="160"/>
      <c r="AW73" s="160"/>
      <c r="AX73" s="160"/>
      <c r="AY73" s="160"/>
      <c r="AZ73" s="189"/>
      <c r="BA73" s="160"/>
      <c r="BB73" s="244"/>
    </row>
    <row r="74" spans="1:54" ht="12.75">
      <c r="A74" s="103"/>
      <c r="B74" s="148"/>
      <c r="C74" s="150"/>
      <c r="D74" s="150"/>
      <c r="E74" s="150"/>
      <c r="F74" s="150" t="s">
        <v>264</v>
      </c>
      <c r="G74" s="150"/>
      <c r="H74" s="151"/>
      <c r="I74" s="235">
        <f>ROUND((SUM(I50:I69)-I73),0)</f>
        <v>297076</v>
      </c>
      <c r="J74" s="243"/>
      <c r="K74" s="160"/>
      <c r="L74" s="160"/>
      <c r="M74" s="160"/>
      <c r="N74" s="160"/>
      <c r="O74" s="160"/>
      <c r="P74" s="189"/>
      <c r="Q74" s="160"/>
      <c r="R74" s="244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243"/>
      <c r="AU74" s="160"/>
      <c r="AV74" s="160"/>
      <c r="AW74" s="160"/>
      <c r="AX74" s="160"/>
      <c r="AY74" s="160"/>
      <c r="AZ74" s="189"/>
      <c r="BA74" s="160"/>
      <c r="BB74" s="244"/>
    </row>
    <row r="75" spans="1:54" ht="12.75">
      <c r="A75" s="102"/>
      <c r="B75" s="150"/>
      <c r="C75" s="150"/>
      <c r="D75" s="150"/>
      <c r="E75" s="150"/>
      <c r="F75" s="150"/>
      <c r="G75" s="150" t="s">
        <v>265</v>
      </c>
      <c r="H75" s="151"/>
      <c r="I75" s="235">
        <f>ROUND((I18+I20-I47-I74),0)</f>
        <v>5546980</v>
      </c>
      <c r="J75" s="160"/>
      <c r="K75" s="160">
        <f>I18+I20+I22-I47-I74</f>
        <v>5613318</v>
      </c>
      <c r="L75" s="160"/>
      <c r="M75" s="160"/>
      <c r="N75" s="160"/>
      <c r="O75" s="160"/>
      <c r="P75" s="190"/>
      <c r="Q75" s="160"/>
      <c r="R75" s="24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60"/>
      <c r="AU75" s="160"/>
      <c r="AV75" s="160"/>
      <c r="AW75" s="160"/>
      <c r="AX75" s="160"/>
      <c r="AY75" s="160"/>
      <c r="AZ75" s="190"/>
      <c r="BA75" s="160"/>
      <c r="BB75" s="240"/>
    </row>
    <row r="76" spans="1:54" ht="12.75">
      <c r="A76" s="96" t="s">
        <v>272</v>
      </c>
      <c r="B76" s="102" t="s">
        <v>266</v>
      </c>
      <c r="C76" s="150"/>
      <c r="D76" s="150"/>
      <c r="E76" s="150"/>
      <c r="F76" s="150"/>
      <c r="G76" s="150"/>
      <c r="H76" s="150"/>
      <c r="I76" s="151"/>
      <c r="J76" s="160"/>
      <c r="K76" s="160"/>
      <c r="L76" s="160"/>
      <c r="M76" s="160"/>
      <c r="N76" s="160"/>
      <c r="O76" s="160"/>
      <c r="P76" s="190"/>
      <c r="Q76" s="160"/>
      <c r="R76" s="24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60"/>
      <c r="AU76" s="160"/>
      <c r="AV76" s="160"/>
      <c r="AW76" s="160"/>
      <c r="AX76" s="160"/>
      <c r="AY76" s="160"/>
      <c r="AZ76" s="190"/>
      <c r="BA76" s="160"/>
      <c r="BB76" s="240"/>
    </row>
    <row r="77" spans="1:54" ht="12.75">
      <c r="A77" s="143" t="s">
        <v>270</v>
      </c>
      <c r="B77" s="143" t="s">
        <v>267</v>
      </c>
      <c r="C77" s="171">
        <v>18705639</v>
      </c>
      <c r="D77" s="234">
        <v>18733</v>
      </c>
      <c r="E77" s="234">
        <v>18763</v>
      </c>
      <c r="F77" s="175">
        <v>30</v>
      </c>
      <c r="G77" s="322">
        <f>E77-D77</f>
        <v>30</v>
      </c>
      <c r="H77" s="143">
        <v>1255</v>
      </c>
      <c r="I77" s="175">
        <f>F77*G77+H77</f>
        <v>2155</v>
      </c>
      <c r="J77" s="160"/>
      <c r="K77" s="160"/>
      <c r="L77" s="160"/>
      <c r="M77" s="160"/>
      <c r="N77" s="160"/>
      <c r="O77" s="160"/>
      <c r="P77" s="190"/>
      <c r="Q77" s="160"/>
      <c r="R77" s="24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60"/>
      <c r="AU77" s="160"/>
      <c r="AV77" s="160"/>
      <c r="AW77" s="160"/>
      <c r="AX77" s="160"/>
      <c r="AY77" s="160"/>
      <c r="AZ77" s="190"/>
      <c r="BA77" s="160"/>
      <c r="BB77" s="240"/>
    </row>
    <row r="78" spans="1:54" ht="12.75">
      <c r="A78" s="144"/>
      <c r="B78" s="144" t="s">
        <v>268</v>
      </c>
      <c r="C78" s="169"/>
      <c r="D78" s="144"/>
      <c r="E78" s="144"/>
      <c r="F78" s="164"/>
      <c r="G78" s="144"/>
      <c r="H78" s="144"/>
      <c r="I78" s="144"/>
      <c r="J78" s="160"/>
      <c r="K78" s="160"/>
      <c r="L78" s="160"/>
      <c r="M78" s="160"/>
      <c r="N78" s="160"/>
      <c r="O78" s="160"/>
      <c r="P78" s="190"/>
      <c r="Q78" s="160"/>
      <c r="R78" s="24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60"/>
      <c r="AU78" s="160"/>
      <c r="AV78" s="160"/>
      <c r="AW78" s="160"/>
      <c r="AX78" s="160"/>
      <c r="AY78" s="160"/>
      <c r="AZ78" s="190"/>
      <c r="BA78" s="160"/>
      <c r="BB78" s="240"/>
    </row>
    <row r="79" spans="1:54" ht="12.75">
      <c r="A79" s="143" t="s">
        <v>271</v>
      </c>
      <c r="B79" s="143" t="s">
        <v>269</v>
      </c>
      <c r="C79" s="171">
        <v>18705843</v>
      </c>
      <c r="D79" s="234">
        <v>1070.8</v>
      </c>
      <c r="E79" s="234">
        <v>1070.8</v>
      </c>
      <c r="F79" s="175">
        <v>30</v>
      </c>
      <c r="G79" s="233">
        <f>E79-D79</f>
        <v>0</v>
      </c>
      <c r="H79" s="143">
        <v>0</v>
      </c>
      <c r="I79" s="175">
        <f>F79*G79+H79</f>
        <v>0</v>
      </c>
      <c r="J79" s="160"/>
      <c r="K79" s="160"/>
      <c r="L79" s="160"/>
      <c r="M79" s="160"/>
      <c r="N79" s="160"/>
      <c r="O79" s="160"/>
      <c r="P79" s="190"/>
      <c r="Q79" s="160"/>
      <c r="R79" s="24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60"/>
      <c r="AU79" s="160"/>
      <c r="AV79" s="160"/>
      <c r="AW79" s="160"/>
      <c r="AX79" s="160"/>
      <c r="AY79" s="160"/>
      <c r="AZ79" s="190"/>
      <c r="BA79" s="160"/>
      <c r="BB79" s="240"/>
    </row>
    <row r="80" spans="1:54" ht="12.75">
      <c r="A80" s="144"/>
      <c r="B80" s="144" t="s">
        <v>268</v>
      </c>
      <c r="C80" s="169"/>
      <c r="D80" s="144"/>
      <c r="E80" s="144"/>
      <c r="F80" s="164"/>
      <c r="G80" s="144"/>
      <c r="H80" s="144"/>
      <c r="I80" s="144"/>
      <c r="J80" s="160"/>
      <c r="K80" s="160"/>
      <c r="L80" s="160"/>
      <c r="M80" s="160"/>
      <c r="N80" s="160"/>
      <c r="O80" s="160"/>
      <c r="P80" s="190"/>
      <c r="Q80" s="160"/>
      <c r="R80" s="24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60"/>
      <c r="AU80" s="160"/>
      <c r="AV80" s="160"/>
      <c r="AW80" s="160"/>
      <c r="AX80" s="160"/>
      <c r="AY80" s="160"/>
      <c r="AZ80" s="190"/>
      <c r="BA80" s="160"/>
      <c r="BB80" s="240"/>
    </row>
    <row r="81" spans="1:54" ht="12.75">
      <c r="A81" s="102"/>
      <c r="B81" s="150"/>
      <c r="C81" s="217"/>
      <c r="D81" s="199"/>
      <c r="E81" s="218"/>
      <c r="F81" s="218" t="s">
        <v>273</v>
      </c>
      <c r="G81" s="219"/>
      <c r="H81" s="151"/>
      <c r="I81" s="155">
        <f>I77+I79</f>
        <v>2155</v>
      </c>
      <c r="J81" s="243"/>
      <c r="K81" s="160"/>
      <c r="L81" s="160"/>
      <c r="M81" s="160"/>
      <c r="N81" s="160"/>
      <c r="O81" s="160"/>
      <c r="P81" s="189"/>
      <c r="Q81" s="160"/>
      <c r="R81" s="244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243"/>
      <c r="AU81" s="160"/>
      <c r="AV81" s="160"/>
      <c r="AW81" s="160"/>
      <c r="AX81" s="160"/>
      <c r="AY81" s="160"/>
      <c r="AZ81" s="189"/>
      <c r="BA81" s="160"/>
      <c r="BB81" s="244"/>
    </row>
    <row r="82" spans="1:54" ht="12.75">
      <c r="A82" s="102"/>
      <c r="B82" s="150"/>
      <c r="C82" s="217"/>
      <c r="D82" s="199"/>
      <c r="E82" s="218"/>
      <c r="F82" s="218"/>
      <c r="G82" s="219" t="s">
        <v>274</v>
      </c>
      <c r="H82" s="151"/>
      <c r="I82" s="235">
        <f>I75+I81</f>
        <v>5549135</v>
      </c>
      <c r="J82" s="160"/>
      <c r="K82" s="160"/>
      <c r="L82" s="160"/>
      <c r="M82" s="160"/>
      <c r="N82" s="160"/>
      <c r="O82" s="160"/>
      <c r="P82" s="190"/>
      <c r="Q82" s="160"/>
      <c r="R82" s="24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60"/>
      <c r="AU82" s="160"/>
      <c r="AV82" s="160"/>
      <c r="AW82" s="160"/>
      <c r="AX82" s="160"/>
      <c r="AY82" s="160"/>
      <c r="AZ82" s="190"/>
      <c r="BA82" s="160"/>
      <c r="BB82" s="240"/>
    </row>
    <row r="83" spans="1:54" ht="12.75">
      <c r="A83" s="145" t="s">
        <v>275</v>
      </c>
      <c r="B83" s="146"/>
      <c r="C83" s="220"/>
      <c r="D83" s="202"/>
      <c r="E83" s="221"/>
      <c r="F83" s="221"/>
      <c r="G83" s="204"/>
      <c r="H83" s="146"/>
      <c r="I83" s="205"/>
      <c r="J83" s="160"/>
      <c r="K83" s="160"/>
      <c r="L83" s="160"/>
      <c r="M83" s="160"/>
      <c r="N83" s="160"/>
      <c r="O83" s="160"/>
      <c r="P83" s="190"/>
      <c r="Q83" s="160"/>
      <c r="R83" s="24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60"/>
      <c r="AU83" s="160"/>
      <c r="AV83" s="160"/>
      <c r="AW83" s="160"/>
      <c r="AX83" s="160"/>
      <c r="AY83" s="160"/>
      <c r="AZ83" s="190"/>
      <c r="BA83" s="160"/>
      <c r="BB83" s="240"/>
    </row>
    <row r="84" spans="1:54" ht="12.75">
      <c r="A84" s="222" t="s">
        <v>538</v>
      </c>
      <c r="B84" s="223"/>
      <c r="C84" s="223"/>
      <c r="D84" s="191"/>
      <c r="E84" s="148"/>
      <c r="F84" s="148"/>
      <c r="G84" s="148"/>
      <c r="H84" s="148"/>
      <c r="I84" s="209"/>
      <c r="J84" s="160"/>
      <c r="K84" s="160"/>
      <c r="L84" s="160"/>
      <c r="M84" s="160"/>
      <c r="N84" s="160"/>
      <c r="O84" s="160"/>
      <c r="P84" s="190"/>
      <c r="Q84" s="160"/>
      <c r="R84" s="24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60"/>
      <c r="AU84" s="160"/>
      <c r="AV84" s="160"/>
      <c r="AW84" s="160"/>
      <c r="AX84" s="160"/>
      <c r="AY84" s="160"/>
      <c r="AZ84" s="190"/>
      <c r="BA84" s="160"/>
      <c r="BB84" s="240"/>
    </row>
    <row r="85" spans="1:54" ht="12.75">
      <c r="A85" s="160" t="s">
        <v>279</v>
      </c>
      <c r="B85" s="160"/>
      <c r="C85" s="264"/>
      <c r="D85" s="181"/>
      <c r="E85" s="265"/>
      <c r="F85" s="265"/>
      <c r="G85" s="188"/>
      <c r="H85" s="160"/>
      <c r="I85" s="190"/>
      <c r="J85" s="160"/>
      <c r="K85" s="160"/>
      <c r="L85" s="160"/>
      <c r="M85" s="160"/>
      <c r="N85" s="160"/>
      <c r="O85" s="160"/>
      <c r="P85" s="190"/>
      <c r="Q85" s="160"/>
      <c r="R85" s="24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60"/>
      <c r="AU85" s="160"/>
      <c r="AV85" s="160"/>
      <c r="AW85" s="160"/>
      <c r="AX85" s="160"/>
      <c r="AY85" s="160"/>
      <c r="AZ85" s="190"/>
      <c r="BA85" s="160"/>
      <c r="BB85" s="240"/>
    </row>
    <row r="86" spans="1:54" ht="12.75">
      <c r="A86" s="160"/>
      <c r="B86" s="160"/>
      <c r="C86" s="181"/>
      <c r="D86" s="313" t="s">
        <v>280</v>
      </c>
      <c r="E86" s="313"/>
      <c r="F86" s="314"/>
      <c r="G86" s="243"/>
      <c r="H86" s="243"/>
      <c r="I86" s="189"/>
      <c r="J86" s="160"/>
      <c r="K86" s="160"/>
      <c r="L86" s="188"/>
      <c r="M86" s="188"/>
      <c r="N86" s="160"/>
      <c r="O86" s="160"/>
      <c r="P86" s="190"/>
      <c r="Q86" s="160"/>
      <c r="R86" s="24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60"/>
      <c r="AU86" s="160"/>
      <c r="AV86" s="188"/>
      <c r="AW86" s="188"/>
      <c r="AX86" s="160"/>
      <c r="AY86" s="160"/>
      <c r="AZ86" s="190"/>
      <c r="BA86" s="160"/>
      <c r="BB86" s="240"/>
    </row>
    <row r="87" spans="1:54" ht="12.75">
      <c r="A87" s="160"/>
      <c r="B87" s="160"/>
      <c r="C87" s="181"/>
      <c r="D87" s="313" t="s">
        <v>531</v>
      </c>
      <c r="E87" s="313"/>
      <c r="F87" s="314"/>
      <c r="G87" s="243"/>
      <c r="H87" s="243"/>
      <c r="I87" s="189"/>
      <c r="J87" s="243"/>
      <c r="K87" s="160"/>
      <c r="L87" s="160"/>
      <c r="M87" s="160"/>
      <c r="N87" s="160"/>
      <c r="O87" s="160"/>
      <c r="P87" s="189"/>
      <c r="Q87" s="160"/>
      <c r="R87" s="244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243"/>
      <c r="AU87" s="160"/>
      <c r="AV87" s="160"/>
      <c r="AW87" s="160"/>
      <c r="AX87" s="160"/>
      <c r="AY87" s="160"/>
      <c r="AZ87" s="189"/>
      <c r="BA87" s="160"/>
      <c r="BB87" s="244"/>
    </row>
    <row r="88" spans="1:54" ht="12.75">
      <c r="A88" s="160"/>
      <c r="B88" s="160"/>
      <c r="C88" s="264"/>
      <c r="D88" s="313" t="s">
        <v>539</v>
      </c>
      <c r="E88" s="313"/>
      <c r="F88" s="314"/>
      <c r="G88" s="243"/>
      <c r="H88" s="243"/>
      <c r="I88" s="189"/>
      <c r="J88" s="160"/>
      <c r="K88" s="160"/>
      <c r="L88" s="160"/>
      <c r="M88" s="160"/>
      <c r="N88" s="160"/>
      <c r="O88" s="160"/>
      <c r="P88" s="190"/>
      <c r="Q88" s="160"/>
      <c r="R88" s="24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60"/>
      <c r="AU88" s="160"/>
      <c r="AV88" s="160"/>
      <c r="AW88" s="160"/>
      <c r="AX88" s="160"/>
      <c r="AY88" s="160"/>
      <c r="AZ88" s="190"/>
      <c r="BA88" s="160"/>
      <c r="BB88" s="240"/>
    </row>
    <row r="89" spans="1:54" ht="12.75">
      <c r="A89" s="120"/>
      <c r="B89" s="120"/>
      <c r="C89" s="120"/>
      <c r="D89" s="120" t="s">
        <v>192</v>
      </c>
      <c r="E89" s="120"/>
      <c r="F89" s="120"/>
      <c r="G89" s="120"/>
      <c r="H89" s="120"/>
      <c r="I89" s="120"/>
      <c r="J89" s="160"/>
      <c r="K89" s="160"/>
      <c r="L89" s="160"/>
      <c r="M89" s="160"/>
      <c r="N89" s="160"/>
      <c r="O89" s="160"/>
      <c r="P89" s="190"/>
      <c r="Q89" s="160"/>
      <c r="R89" s="24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60" t="s">
        <v>530</v>
      </c>
      <c r="AU89" s="120"/>
      <c r="AV89" s="120"/>
      <c r="AW89" s="120"/>
      <c r="AX89" s="120"/>
      <c r="AY89" s="120"/>
      <c r="AZ89" s="120"/>
      <c r="BA89" s="120"/>
      <c r="BB89" s="120"/>
    </row>
    <row r="90" spans="1:54" ht="12.75">
      <c r="A90" s="120"/>
      <c r="B90" s="120"/>
      <c r="C90" s="120"/>
      <c r="D90" s="120" t="s">
        <v>193</v>
      </c>
      <c r="E90" s="120"/>
      <c r="F90" s="120"/>
      <c r="G90" s="120"/>
      <c r="H90" s="120"/>
      <c r="I90" s="120"/>
      <c r="J90" s="243"/>
      <c r="K90" s="160"/>
      <c r="L90" s="160"/>
      <c r="M90" s="160"/>
      <c r="N90" s="160"/>
      <c r="O90" s="160"/>
      <c r="P90" s="189"/>
      <c r="Q90" s="160"/>
      <c r="R90" s="244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60" t="s">
        <v>535</v>
      </c>
      <c r="AU90" s="120"/>
      <c r="AV90" s="120"/>
      <c r="AW90" s="120"/>
      <c r="AX90" s="120"/>
      <c r="AY90" s="120"/>
      <c r="AZ90" s="120"/>
      <c r="BA90" s="120"/>
      <c r="BB90" s="120"/>
    </row>
    <row r="91" spans="1:54" ht="13.5">
      <c r="A91" s="120"/>
      <c r="B91" s="120"/>
      <c r="C91" s="120"/>
      <c r="D91" s="120"/>
      <c r="E91" s="120"/>
      <c r="F91" s="120"/>
      <c r="G91" s="120"/>
      <c r="H91" s="120"/>
      <c r="I91" s="120"/>
      <c r="J91" s="243"/>
      <c r="K91" s="160"/>
      <c r="L91" s="160"/>
      <c r="M91" s="160"/>
      <c r="N91" s="160"/>
      <c r="O91" s="160"/>
      <c r="P91" s="189"/>
      <c r="Q91" s="160"/>
      <c r="R91" s="244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60"/>
      <c r="AU91" s="120" t="s">
        <v>4</v>
      </c>
      <c r="AV91" s="120"/>
      <c r="AW91" s="120"/>
      <c r="AX91" s="120"/>
      <c r="AY91" s="254" t="s">
        <v>138</v>
      </c>
      <c r="AZ91" s="196" t="s">
        <v>557</v>
      </c>
      <c r="BA91" s="120"/>
      <c r="BB91" s="120"/>
    </row>
    <row r="92" spans="1:54" ht="12.75">
      <c r="A92" s="120"/>
      <c r="B92" s="120"/>
      <c r="C92" s="120" t="s">
        <v>194</v>
      </c>
      <c r="D92" s="120"/>
      <c r="E92" s="120"/>
      <c r="F92" s="120"/>
      <c r="G92" s="120"/>
      <c r="H92" s="120"/>
      <c r="I92" s="120"/>
      <c r="J92" s="243"/>
      <c r="K92" s="160"/>
      <c r="L92" s="160"/>
      <c r="M92" s="160"/>
      <c r="N92" s="160"/>
      <c r="O92" s="160"/>
      <c r="P92" s="189"/>
      <c r="Q92" s="160"/>
      <c r="R92" s="244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50" t="s">
        <v>108</v>
      </c>
      <c r="AU92" s="150"/>
      <c r="AV92" s="150"/>
      <c r="AW92" s="150"/>
      <c r="AX92" s="150"/>
      <c r="AY92" s="151"/>
      <c r="AZ92" s="96" t="s">
        <v>175</v>
      </c>
      <c r="BA92" s="96"/>
      <c r="BB92" s="96" t="s">
        <v>109</v>
      </c>
    </row>
    <row r="93" spans="1:54" ht="12.75">
      <c r="A93" s="120"/>
      <c r="B93" s="120"/>
      <c r="C93" s="120"/>
      <c r="D93" s="277" t="s">
        <v>578</v>
      </c>
      <c r="E93" s="277"/>
      <c r="F93" s="120"/>
      <c r="G93" s="120"/>
      <c r="H93" s="120"/>
      <c r="I93" s="120"/>
      <c r="J93" s="243"/>
      <c r="K93" s="160"/>
      <c r="L93" s="160"/>
      <c r="M93" s="160"/>
      <c r="N93" s="160"/>
      <c r="O93" s="160"/>
      <c r="P93" s="189"/>
      <c r="Q93" s="160"/>
      <c r="R93" s="244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273" t="s">
        <v>301</v>
      </c>
      <c r="AU93" s="150"/>
      <c r="AV93" s="150"/>
      <c r="AW93" s="150"/>
      <c r="AX93" s="150"/>
      <c r="AY93" s="151"/>
      <c r="AZ93" s="235">
        <v>49448</v>
      </c>
      <c r="BA93" s="199"/>
      <c r="BB93" s="299">
        <f>AZ93*BB58</f>
        <v>185292.73306095423</v>
      </c>
    </row>
    <row r="94" spans="1:54" ht="12.75">
      <c r="A94" s="120" t="s">
        <v>528</v>
      </c>
      <c r="B94" s="120"/>
      <c r="C94" s="120"/>
      <c r="D94" s="120"/>
      <c r="E94" s="120"/>
      <c r="F94" s="120"/>
      <c r="G94" s="120"/>
      <c r="H94" s="120"/>
      <c r="I94" s="120"/>
      <c r="J94" s="243"/>
      <c r="K94" s="160"/>
      <c r="L94" s="160"/>
      <c r="M94" s="160"/>
      <c r="N94" s="160"/>
      <c r="O94" s="160"/>
      <c r="P94" s="189"/>
      <c r="Q94" s="160"/>
      <c r="R94" s="244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273" t="s">
        <v>300</v>
      </c>
      <c r="AU94" s="150"/>
      <c r="AV94" s="150"/>
      <c r="AW94" s="150"/>
      <c r="AX94" s="150"/>
      <c r="AY94" s="151"/>
      <c r="AZ94" s="235">
        <f>AZ131-SUM(AZ112:AZ120)-AZ109-AZ103-AZ96-AZ95-AZ93</f>
        <v>4592913</v>
      </c>
      <c r="BA94" s="199"/>
      <c r="BB94" s="299">
        <f>AZ94*BB58</f>
        <v>17210673.88936229</v>
      </c>
    </row>
    <row r="95" spans="1:54" ht="12.75">
      <c r="A95" s="120" t="s">
        <v>196</v>
      </c>
      <c r="B95" s="120"/>
      <c r="C95" s="120"/>
      <c r="D95" s="120"/>
      <c r="E95" s="120"/>
      <c r="F95" s="120"/>
      <c r="G95" s="120"/>
      <c r="H95" s="120"/>
      <c r="I95" s="120"/>
      <c r="J95" s="243"/>
      <c r="K95" s="243"/>
      <c r="L95" s="160"/>
      <c r="M95" s="160"/>
      <c r="N95" s="160"/>
      <c r="O95" s="160"/>
      <c r="P95" s="189"/>
      <c r="Q95" s="160"/>
      <c r="R95" s="244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273" t="s">
        <v>537</v>
      </c>
      <c r="AU95" s="150"/>
      <c r="AV95" s="150"/>
      <c r="AW95" s="150"/>
      <c r="AX95" s="150"/>
      <c r="AY95" s="151"/>
      <c r="AZ95" s="235">
        <v>181094</v>
      </c>
      <c r="BA95" s="199"/>
      <c r="BB95" s="299">
        <f>AZ95*BB58</f>
        <v>678599.7856524115</v>
      </c>
    </row>
    <row r="96" spans="1:54" ht="12.75">
      <c r="A96" s="120" t="s">
        <v>198</v>
      </c>
      <c r="B96" s="120"/>
      <c r="C96" s="120"/>
      <c r="D96" s="120"/>
      <c r="E96" s="120"/>
      <c r="F96" s="120" t="s">
        <v>197</v>
      </c>
      <c r="G96" s="120"/>
      <c r="H96" s="120"/>
      <c r="I96" s="120"/>
      <c r="J96" s="243"/>
      <c r="K96" s="243"/>
      <c r="L96" s="160"/>
      <c r="M96" s="160"/>
      <c r="N96" s="160"/>
      <c r="O96" s="160"/>
      <c r="P96" s="189"/>
      <c r="Q96" s="160"/>
      <c r="R96" s="244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255" t="s">
        <v>85</v>
      </c>
      <c r="AU96" s="146"/>
      <c r="AV96" s="146"/>
      <c r="AW96" s="146"/>
      <c r="AX96" s="146"/>
      <c r="AY96" s="147"/>
      <c r="AZ96" s="300">
        <f>SUM(AZ97:AZ102)</f>
        <v>600097</v>
      </c>
      <c r="BA96" s="202"/>
      <c r="BB96" s="299">
        <f>AZ96*BB58</f>
        <v>2248697.889331812</v>
      </c>
    </row>
    <row r="97" spans="1:54" ht="12.75">
      <c r="A97" s="143" t="s">
        <v>335</v>
      </c>
      <c r="B97" s="171" t="s">
        <v>199</v>
      </c>
      <c r="C97" s="143" t="s">
        <v>200</v>
      </c>
      <c r="D97" s="224" t="s">
        <v>286</v>
      </c>
      <c r="E97" s="225"/>
      <c r="F97" s="143" t="s">
        <v>201</v>
      </c>
      <c r="G97" s="143" t="s">
        <v>404</v>
      </c>
      <c r="H97" s="143" t="s">
        <v>202</v>
      </c>
      <c r="I97" s="143" t="s">
        <v>191</v>
      </c>
      <c r="J97" s="243"/>
      <c r="K97" s="243"/>
      <c r="L97" s="160"/>
      <c r="M97" s="160"/>
      <c r="N97" s="160"/>
      <c r="O97" s="160"/>
      <c r="P97" s="189"/>
      <c r="Q97" s="160"/>
      <c r="R97" s="244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59" t="s">
        <v>87</v>
      </c>
      <c r="AU97" s="160"/>
      <c r="AV97" s="160"/>
      <c r="AW97" s="160"/>
      <c r="AX97" s="160"/>
      <c r="AY97" s="161"/>
      <c r="AZ97" s="163">
        <v>115314</v>
      </c>
      <c r="BA97" s="181"/>
      <c r="BB97" s="299">
        <f>AZ97*BB58</f>
        <v>432107.3899892994</v>
      </c>
    </row>
    <row r="98" spans="1:54" ht="12.75">
      <c r="A98" s="173"/>
      <c r="B98" s="173"/>
      <c r="C98" s="173"/>
      <c r="D98" s="143" t="s">
        <v>203</v>
      </c>
      <c r="E98" s="145" t="s">
        <v>204</v>
      </c>
      <c r="F98" s="173" t="s">
        <v>205</v>
      </c>
      <c r="G98" s="173" t="s">
        <v>190</v>
      </c>
      <c r="H98" s="173"/>
      <c r="I98" s="173" t="s">
        <v>206</v>
      </c>
      <c r="J98" s="243"/>
      <c r="K98" s="243"/>
      <c r="L98" s="160"/>
      <c r="M98" s="160"/>
      <c r="N98" s="160"/>
      <c r="O98" s="160"/>
      <c r="P98" s="189"/>
      <c r="Q98" s="160"/>
      <c r="R98" s="244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59" t="s">
        <v>88</v>
      </c>
      <c r="AU98" s="160"/>
      <c r="AV98" s="160"/>
      <c r="AW98" s="160"/>
      <c r="AX98" s="160"/>
      <c r="AY98" s="161"/>
      <c r="AZ98" s="163">
        <v>357070</v>
      </c>
      <c r="BA98" s="181"/>
      <c r="BB98" s="299">
        <f>AZ98*BB58</f>
        <v>1338021.2787994444</v>
      </c>
    </row>
    <row r="99" spans="1:54" ht="12.75">
      <c r="A99" s="144"/>
      <c r="B99" s="144"/>
      <c r="C99" s="144"/>
      <c r="D99" s="144" t="s">
        <v>207</v>
      </c>
      <c r="E99" s="103" t="s">
        <v>207</v>
      </c>
      <c r="F99" s="144" t="s">
        <v>208</v>
      </c>
      <c r="G99" s="144"/>
      <c r="H99" s="144"/>
      <c r="I99" s="144"/>
      <c r="J99" s="160"/>
      <c r="K99" s="160"/>
      <c r="L99" s="160"/>
      <c r="M99" s="160"/>
      <c r="N99" s="160"/>
      <c r="O99" s="160"/>
      <c r="P99" s="189"/>
      <c r="Q99" s="160"/>
      <c r="R99" s="244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59" t="s">
        <v>89</v>
      </c>
      <c r="AU99" s="160"/>
      <c r="AV99" s="160"/>
      <c r="AW99" s="160"/>
      <c r="AX99" s="160"/>
      <c r="AY99" s="161"/>
      <c r="AZ99" s="163">
        <v>125211</v>
      </c>
      <c r="BA99" s="181"/>
      <c r="BB99" s="299">
        <f>AZ99*BB58</f>
        <v>469193.66605919634</v>
      </c>
    </row>
    <row r="100" spans="1:54" ht="12.75">
      <c r="A100" s="152">
        <v>1</v>
      </c>
      <c r="B100" s="152">
        <v>2</v>
      </c>
      <c r="C100" s="152">
        <v>3</v>
      </c>
      <c r="D100" s="152">
        <v>4</v>
      </c>
      <c r="E100" s="152">
        <v>5</v>
      </c>
      <c r="F100" s="152">
        <v>6</v>
      </c>
      <c r="G100" s="152">
        <v>7</v>
      </c>
      <c r="H100" s="152">
        <v>8</v>
      </c>
      <c r="I100" s="152">
        <v>9</v>
      </c>
      <c r="J100" s="160"/>
      <c r="K100" s="160"/>
      <c r="L100" s="160"/>
      <c r="M100" s="160"/>
      <c r="N100" s="160"/>
      <c r="O100" s="160"/>
      <c r="P100" s="189"/>
      <c r="Q100" s="160"/>
      <c r="R100" s="244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59" t="s">
        <v>90</v>
      </c>
      <c r="AU100" s="160"/>
      <c r="AV100" s="160"/>
      <c r="AW100" s="160"/>
      <c r="AX100" s="160"/>
      <c r="AY100" s="161"/>
      <c r="AZ100" s="163">
        <v>250</v>
      </c>
      <c r="BA100" s="181"/>
      <c r="BB100" s="299">
        <f>AZ100*BB58</f>
        <v>936.8060035843423</v>
      </c>
    </row>
    <row r="101" spans="1:54" ht="12.75">
      <c r="A101" s="103"/>
      <c r="B101" s="148"/>
      <c r="C101" s="320" t="s">
        <v>287</v>
      </c>
      <c r="D101" s="320"/>
      <c r="E101" s="148"/>
      <c r="F101" s="148"/>
      <c r="G101" s="148"/>
      <c r="H101" s="148"/>
      <c r="I101" s="149"/>
      <c r="J101" s="160"/>
      <c r="K101" s="160"/>
      <c r="L101" s="160"/>
      <c r="M101" s="160"/>
      <c r="N101" s="160"/>
      <c r="O101" s="160"/>
      <c r="P101" s="189"/>
      <c r="Q101" s="160"/>
      <c r="R101" s="244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59" t="s">
        <v>91</v>
      </c>
      <c r="AU101" s="160"/>
      <c r="AV101" s="160"/>
      <c r="AW101" s="160"/>
      <c r="AX101" s="160"/>
      <c r="AY101" s="161"/>
      <c r="AZ101" s="163">
        <v>1252</v>
      </c>
      <c r="BA101" s="181"/>
      <c r="BB101" s="299">
        <f>AZ101*BB58</f>
        <v>4691.524465950386</v>
      </c>
    </row>
    <row r="102" spans="1:54" ht="12.75">
      <c r="A102" s="96"/>
      <c r="B102" s="102" t="s">
        <v>526</v>
      </c>
      <c r="C102" s="150"/>
      <c r="D102" s="150"/>
      <c r="E102" s="150"/>
      <c r="F102" s="150"/>
      <c r="G102" s="150"/>
      <c r="H102" s="150"/>
      <c r="I102" s="151"/>
      <c r="J102" s="160"/>
      <c r="K102" s="160"/>
      <c r="L102" s="160"/>
      <c r="M102" s="160"/>
      <c r="N102" s="160"/>
      <c r="O102" s="160"/>
      <c r="P102" s="189"/>
      <c r="Q102" s="160"/>
      <c r="R102" s="244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03" t="s">
        <v>41</v>
      </c>
      <c r="AU102" s="148"/>
      <c r="AV102" s="148"/>
      <c r="AW102" s="148"/>
      <c r="AX102" s="148"/>
      <c r="AY102" s="149"/>
      <c r="AZ102" s="164">
        <v>1000</v>
      </c>
      <c r="BA102" s="191"/>
      <c r="BB102" s="299">
        <f>AZ102*BB58</f>
        <v>3747.224014337369</v>
      </c>
    </row>
    <row r="103" spans="1:54" ht="12.75">
      <c r="A103" s="171">
        <v>1</v>
      </c>
      <c r="B103" s="143" t="s">
        <v>249</v>
      </c>
      <c r="C103" s="197">
        <v>804152757</v>
      </c>
      <c r="D103" s="230">
        <v>2171.4687</v>
      </c>
      <c r="E103" s="230">
        <v>2219.143</v>
      </c>
      <c r="F103" s="155">
        <v>36000</v>
      </c>
      <c r="G103" s="252">
        <f>E103-D103</f>
        <v>47.67430000000013</v>
      </c>
      <c r="H103" s="96"/>
      <c r="I103" s="155">
        <f>F103*G103+H103</f>
        <v>1716274.8000000047</v>
      </c>
      <c r="J103" s="160"/>
      <c r="K103" s="160"/>
      <c r="L103" s="160"/>
      <c r="M103" s="160"/>
      <c r="N103" s="160"/>
      <c r="O103" s="160"/>
      <c r="P103" s="189"/>
      <c r="Q103" s="160"/>
      <c r="R103" s="244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255" t="s">
        <v>303</v>
      </c>
      <c r="AU103" s="146"/>
      <c r="AV103" s="146"/>
      <c r="AW103" s="146"/>
      <c r="AX103" s="146"/>
      <c r="AY103" s="147"/>
      <c r="AZ103" s="300">
        <f>SUM(AZ104:AZ108)</f>
        <v>10716</v>
      </c>
      <c r="BA103" s="202"/>
      <c r="BB103" s="299">
        <f>AZ103*BB58</f>
        <v>40155.25253763925</v>
      </c>
    </row>
    <row r="104" spans="1:54" ht="12.75">
      <c r="A104" s="144"/>
      <c r="B104" s="103" t="s">
        <v>250</v>
      </c>
      <c r="C104" s="213">
        <v>109054169</v>
      </c>
      <c r="D104" s="230">
        <v>2715.2916</v>
      </c>
      <c r="E104" s="230">
        <v>2769.6612</v>
      </c>
      <c r="F104" s="155">
        <v>36000</v>
      </c>
      <c r="G104" s="252">
        <f>E104-D104</f>
        <v>54.36959999999999</v>
      </c>
      <c r="H104" s="96"/>
      <c r="I104" s="155">
        <f>F104*G104+H104</f>
        <v>1957305.5999999996</v>
      </c>
      <c r="J104" s="160"/>
      <c r="K104" s="160"/>
      <c r="L104" s="188"/>
      <c r="M104" s="188"/>
      <c r="N104" s="160"/>
      <c r="O104" s="160"/>
      <c r="P104" s="189"/>
      <c r="Q104" s="160"/>
      <c r="R104" s="244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59"/>
      <c r="AU104" s="160" t="s">
        <v>389</v>
      </c>
      <c r="AV104" s="160"/>
      <c r="AW104" s="160"/>
      <c r="AX104" s="160"/>
      <c r="AY104" s="161"/>
      <c r="AZ104" s="163">
        <v>1600</v>
      </c>
      <c r="BA104" s="181"/>
      <c r="BB104" s="299">
        <f>AZ104*BB58</f>
        <v>5995.558422939791</v>
      </c>
    </row>
    <row r="105" spans="1:54" ht="12.75">
      <c r="A105" s="102"/>
      <c r="B105" s="150"/>
      <c r="C105" s="148"/>
      <c r="D105" s="150"/>
      <c r="E105" s="150"/>
      <c r="F105" s="214" t="s">
        <v>212</v>
      </c>
      <c r="G105" s="150"/>
      <c r="H105" s="151"/>
      <c r="I105" s="155">
        <f>I103+I104</f>
        <v>3673580.400000004</v>
      </c>
      <c r="J105" s="160"/>
      <c r="K105" s="160"/>
      <c r="L105" s="160"/>
      <c r="M105" s="160"/>
      <c r="N105" s="160"/>
      <c r="O105" s="160"/>
      <c r="P105" s="190"/>
      <c r="Q105" s="160"/>
      <c r="R105" s="16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59" t="s">
        <v>385</v>
      </c>
      <c r="AU105" s="160"/>
      <c r="AV105" s="160" t="s">
        <v>304</v>
      </c>
      <c r="AW105" s="160"/>
      <c r="AX105" s="160"/>
      <c r="AY105" s="161"/>
      <c r="AZ105" s="163">
        <v>4560</v>
      </c>
      <c r="BA105" s="181"/>
      <c r="BB105" s="299">
        <f>AZ105*BB58</f>
        <v>17087.341505378405</v>
      </c>
    </row>
    <row r="106" spans="1:54" ht="12.75">
      <c r="A106" s="96" t="s">
        <v>213</v>
      </c>
      <c r="B106" s="102" t="s">
        <v>214</v>
      </c>
      <c r="C106" s="150"/>
      <c r="D106" s="150"/>
      <c r="E106" s="150"/>
      <c r="F106" s="150"/>
      <c r="G106" s="150"/>
      <c r="H106" s="150"/>
      <c r="I106" s="151"/>
      <c r="J106" s="160"/>
      <c r="K106" s="160"/>
      <c r="L106" s="160"/>
      <c r="M106" s="160"/>
      <c r="N106" s="160"/>
      <c r="O106" s="160"/>
      <c r="P106" s="190"/>
      <c r="Q106" s="160"/>
      <c r="R106" s="16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59" t="s">
        <v>385</v>
      </c>
      <c r="AU106" s="160"/>
      <c r="AV106" s="160" t="s">
        <v>390</v>
      </c>
      <c r="AW106" s="160"/>
      <c r="AX106" s="160"/>
      <c r="AY106" s="161"/>
      <c r="AZ106" s="163">
        <v>50</v>
      </c>
      <c r="BA106" s="181"/>
      <c r="BB106" s="299">
        <f>AZ106*BB58</f>
        <v>187.36120071686847</v>
      </c>
    </row>
    <row r="107" spans="1:54" ht="12.75">
      <c r="A107" s="96" t="s">
        <v>215</v>
      </c>
      <c r="B107" s="96" t="s">
        <v>216</v>
      </c>
      <c r="C107" s="213">
        <v>109053225</v>
      </c>
      <c r="D107" s="230">
        <v>7350.6125</v>
      </c>
      <c r="E107" s="230">
        <v>7387.9481</v>
      </c>
      <c r="F107" s="155">
        <v>21000</v>
      </c>
      <c r="G107" s="252">
        <f>E107-D107</f>
        <v>37.33559999999943</v>
      </c>
      <c r="H107" s="96"/>
      <c r="I107" s="155">
        <f>F107*G107+H107</f>
        <v>784047.5999999881</v>
      </c>
      <c r="J107" s="160"/>
      <c r="K107" s="160"/>
      <c r="L107" s="160"/>
      <c r="M107" s="160"/>
      <c r="N107" s="160"/>
      <c r="O107" s="160"/>
      <c r="P107" s="190"/>
      <c r="Q107" s="160"/>
      <c r="R107" s="16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60"/>
      <c r="AU107" s="160"/>
      <c r="AV107" s="160" t="s">
        <v>391</v>
      </c>
      <c r="AW107" s="160"/>
      <c r="AX107" s="160"/>
      <c r="AY107" s="160"/>
      <c r="AZ107" s="163">
        <v>240</v>
      </c>
      <c r="BA107" s="168"/>
      <c r="BB107" s="299">
        <f>AZ107*BB58</f>
        <v>899.3337634409686</v>
      </c>
    </row>
    <row r="108" spans="1:54" ht="12.75">
      <c r="A108" s="96" t="s">
        <v>521</v>
      </c>
      <c r="B108" s="150" t="s">
        <v>524</v>
      </c>
      <c r="C108" s="148"/>
      <c r="D108" s="150"/>
      <c r="E108" s="150"/>
      <c r="F108" s="214"/>
      <c r="G108" s="150"/>
      <c r="H108" s="151"/>
      <c r="I108" s="155"/>
      <c r="J108" s="160"/>
      <c r="K108" s="160"/>
      <c r="L108" s="160"/>
      <c r="M108" s="160"/>
      <c r="N108" s="160"/>
      <c r="O108" s="160"/>
      <c r="P108" s="190"/>
      <c r="Q108" s="160"/>
      <c r="R108" s="16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03" t="s">
        <v>155</v>
      </c>
      <c r="AU108" s="148"/>
      <c r="AV108" s="208"/>
      <c r="AW108" s="208"/>
      <c r="AX108" s="148"/>
      <c r="AY108" s="149"/>
      <c r="AZ108" s="164">
        <v>4266</v>
      </c>
      <c r="BA108" s="191"/>
      <c r="BB108" s="299">
        <f>AZ108*BB58</f>
        <v>15985.657645163217</v>
      </c>
    </row>
    <row r="109" spans="1:54" ht="12.75">
      <c r="A109" s="96" t="s">
        <v>522</v>
      </c>
      <c r="B109" s="102" t="s">
        <v>525</v>
      </c>
      <c r="C109" s="150"/>
      <c r="D109" s="150"/>
      <c r="E109" s="150"/>
      <c r="F109" s="150"/>
      <c r="G109" s="150"/>
      <c r="H109" s="151"/>
      <c r="I109" s="280"/>
      <c r="J109" s="160"/>
      <c r="K109" s="160"/>
      <c r="L109" s="160"/>
      <c r="M109" s="160"/>
      <c r="N109" s="160"/>
      <c r="O109" s="160"/>
      <c r="P109" s="190"/>
      <c r="Q109" s="160"/>
      <c r="R109" s="244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255" t="s">
        <v>536</v>
      </c>
      <c r="AU109" s="146"/>
      <c r="AV109" s="146"/>
      <c r="AW109" s="146"/>
      <c r="AX109" s="146"/>
      <c r="AY109" s="147"/>
      <c r="AZ109" s="300">
        <f>AZ110+AZ111</f>
        <v>25796</v>
      </c>
      <c r="BA109" s="202"/>
      <c r="BB109" s="299">
        <f>AZ109*BB58</f>
        <v>96663.39067384678</v>
      </c>
    </row>
    <row r="110" spans="1:54" ht="12.75">
      <c r="A110" s="102" t="s">
        <v>523</v>
      </c>
      <c r="B110" s="102"/>
      <c r="C110" s="371"/>
      <c r="D110" s="372"/>
      <c r="E110" s="372"/>
      <c r="F110" s="373"/>
      <c r="G110" s="374"/>
      <c r="H110" s="151"/>
      <c r="I110" s="280"/>
      <c r="J110" s="160"/>
      <c r="K110" s="160"/>
      <c r="L110" s="160"/>
      <c r="M110" s="160"/>
      <c r="N110" s="160"/>
      <c r="O110" s="160"/>
      <c r="P110" s="190"/>
      <c r="Q110" s="160"/>
      <c r="R110" s="16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59" t="s">
        <v>93</v>
      </c>
      <c r="AU110" s="160"/>
      <c r="AV110" s="160"/>
      <c r="AW110" s="160"/>
      <c r="AX110" s="160"/>
      <c r="AY110" s="161"/>
      <c r="AZ110" s="163">
        <v>4940</v>
      </c>
      <c r="BA110" s="181"/>
      <c r="BB110" s="299">
        <f>AZ110*BB58</f>
        <v>18511.286630826602</v>
      </c>
    </row>
    <row r="111" spans="1:54" ht="12.75">
      <c r="A111" s="96" t="s">
        <v>219</v>
      </c>
      <c r="B111" s="102" t="s">
        <v>220</v>
      </c>
      <c r="C111" s="150"/>
      <c r="D111" s="150"/>
      <c r="E111" s="150"/>
      <c r="F111" s="150"/>
      <c r="G111" s="150"/>
      <c r="H111" s="150"/>
      <c r="I111" s="151"/>
      <c r="J111" s="160"/>
      <c r="K111" s="160"/>
      <c r="L111" s="160"/>
      <c r="M111" s="160"/>
      <c r="N111" s="160"/>
      <c r="O111" s="160"/>
      <c r="P111" s="160"/>
      <c r="Q111" s="160"/>
      <c r="R111" s="16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03" t="s">
        <v>94</v>
      </c>
      <c r="AU111" s="148"/>
      <c r="AV111" s="148"/>
      <c r="AW111" s="148"/>
      <c r="AX111" s="148"/>
      <c r="AY111" s="149"/>
      <c r="AZ111" s="164">
        <v>20856</v>
      </c>
      <c r="BA111" s="191"/>
      <c r="BB111" s="299">
        <f>AZ111*BB58</f>
        <v>78152.10404302017</v>
      </c>
    </row>
    <row r="112" spans="1:54" ht="12.75">
      <c r="A112" s="143" t="s">
        <v>221</v>
      </c>
      <c r="B112" s="143" t="s">
        <v>224</v>
      </c>
      <c r="C112" s="197"/>
      <c r="D112" s="171"/>
      <c r="E112" s="171"/>
      <c r="F112" s="175"/>
      <c r="G112" s="171"/>
      <c r="H112" s="171"/>
      <c r="I112" s="171"/>
      <c r="J112" s="160"/>
      <c r="K112" s="160"/>
      <c r="L112" s="160"/>
      <c r="M112" s="160"/>
      <c r="N112" s="160"/>
      <c r="O112" s="160"/>
      <c r="P112" s="160"/>
      <c r="Q112" s="160"/>
      <c r="R112" s="16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273" t="s">
        <v>392</v>
      </c>
      <c r="AU112" s="150"/>
      <c r="AV112" s="150"/>
      <c r="AW112" s="150"/>
      <c r="AX112" s="150"/>
      <c r="AY112" s="151"/>
      <c r="AZ112" s="235">
        <v>10252</v>
      </c>
      <c r="BA112" s="199"/>
      <c r="BB112" s="299">
        <f>AZ112*BB58</f>
        <v>38416.540594986705</v>
      </c>
    </row>
    <row r="113" spans="1:54" ht="12.75">
      <c r="A113" s="144"/>
      <c r="B113" s="144" t="s">
        <v>222</v>
      </c>
      <c r="C113" s="198">
        <v>109056121</v>
      </c>
      <c r="D113" s="323">
        <v>6426.8167</v>
      </c>
      <c r="E113" s="323">
        <v>6450.7104</v>
      </c>
      <c r="F113" s="164">
        <v>4800</v>
      </c>
      <c r="G113" s="324">
        <f aca="true" t="shared" si="2" ref="G113:G132">E113-D113</f>
        <v>23.893699999999626</v>
      </c>
      <c r="H113" s="164"/>
      <c r="I113" s="164">
        <f>F113*G113+H113</f>
        <v>114689.7599999982</v>
      </c>
      <c r="J113" s="160"/>
      <c r="K113" s="160"/>
      <c r="L113" s="160"/>
      <c r="M113" s="160"/>
      <c r="N113" s="160"/>
      <c r="O113" s="160"/>
      <c r="P113" s="160"/>
      <c r="Q113" s="160"/>
      <c r="R113" s="16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273" t="s">
        <v>154</v>
      </c>
      <c r="AU113" s="150"/>
      <c r="AV113" s="150"/>
      <c r="AW113" s="150"/>
      <c r="AX113" s="150"/>
      <c r="AY113" s="151"/>
      <c r="AZ113" s="235">
        <v>19428</v>
      </c>
      <c r="BA113" s="199"/>
      <c r="BB113" s="299">
        <f>AZ113*BB58</f>
        <v>72801.0681505464</v>
      </c>
    </row>
    <row r="114" spans="1:54" ht="12.75">
      <c r="A114" s="143" t="s">
        <v>223</v>
      </c>
      <c r="B114" s="143" t="s">
        <v>235</v>
      </c>
      <c r="C114" s="197">
        <v>623125232</v>
      </c>
      <c r="D114" s="325">
        <v>3004.4408</v>
      </c>
      <c r="E114" s="325">
        <v>3004.4408</v>
      </c>
      <c r="F114" s="175">
        <v>1800</v>
      </c>
      <c r="G114" s="326">
        <f t="shared" si="2"/>
        <v>0</v>
      </c>
      <c r="H114" s="171"/>
      <c r="I114" s="175">
        <f>G114*F114</f>
        <v>0</v>
      </c>
      <c r="J114" s="160"/>
      <c r="K114" s="160"/>
      <c r="L114" s="160"/>
      <c r="M114" s="160"/>
      <c r="N114" s="160"/>
      <c r="O114" s="160"/>
      <c r="P114" s="160"/>
      <c r="Q114" s="160"/>
      <c r="R114" s="16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273" t="s">
        <v>362</v>
      </c>
      <c r="AU114" s="150"/>
      <c r="AV114" s="150"/>
      <c r="AW114" s="150"/>
      <c r="AX114" s="150"/>
      <c r="AY114" s="151"/>
      <c r="AZ114" s="235">
        <v>13245</v>
      </c>
      <c r="BA114" s="199"/>
      <c r="BB114" s="299">
        <f>AZ114*BB58</f>
        <v>49631.982069898455</v>
      </c>
    </row>
    <row r="115" spans="1:54" ht="12.75">
      <c r="A115" s="144"/>
      <c r="B115" s="144" t="s">
        <v>222</v>
      </c>
      <c r="C115" s="169"/>
      <c r="D115" s="228"/>
      <c r="E115" s="228"/>
      <c r="F115" s="164"/>
      <c r="G115" s="227"/>
      <c r="H115" s="169"/>
      <c r="I115" s="164"/>
      <c r="J115" s="160"/>
      <c r="K115" s="160"/>
      <c r="L115" s="160"/>
      <c r="M115" s="160"/>
      <c r="N115" s="160"/>
      <c r="O115" s="160"/>
      <c r="P115" s="160"/>
      <c r="Q115" s="160"/>
      <c r="R115" s="16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273" t="s">
        <v>297</v>
      </c>
      <c r="AU115" s="150"/>
      <c r="AV115" s="150"/>
      <c r="AW115" s="150"/>
      <c r="AX115" s="150"/>
      <c r="AY115" s="151"/>
      <c r="AZ115" s="235">
        <v>2336</v>
      </c>
      <c r="BA115" s="199"/>
      <c r="BB115" s="299">
        <f>AZ115*BB58</f>
        <v>8753.515297492095</v>
      </c>
    </row>
    <row r="116" spans="1:54" ht="12.75">
      <c r="A116" s="143" t="s">
        <v>225</v>
      </c>
      <c r="B116" s="143" t="s">
        <v>236</v>
      </c>
      <c r="C116" s="197">
        <v>623125667</v>
      </c>
      <c r="D116" s="325">
        <v>3424.7309</v>
      </c>
      <c r="E116" s="325">
        <v>3489.277</v>
      </c>
      <c r="F116" s="175">
        <v>1800</v>
      </c>
      <c r="G116" s="326">
        <f t="shared" si="2"/>
        <v>64.54610000000002</v>
      </c>
      <c r="H116" s="171"/>
      <c r="I116" s="175">
        <f>G116*F116</f>
        <v>116182.98000000004</v>
      </c>
      <c r="J116" s="160"/>
      <c r="K116" s="160"/>
      <c r="L116" s="160"/>
      <c r="M116" s="160"/>
      <c r="N116" s="160"/>
      <c r="O116" s="160"/>
      <c r="P116" s="160"/>
      <c r="Q116" s="160"/>
      <c r="R116" s="16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273" t="s">
        <v>6</v>
      </c>
      <c r="AU116" s="150"/>
      <c r="AV116" s="150"/>
      <c r="AW116" s="150"/>
      <c r="AX116" s="150"/>
      <c r="AY116" s="151"/>
      <c r="AZ116" s="235">
        <v>20000</v>
      </c>
      <c r="BA116" s="199"/>
      <c r="BB116" s="299">
        <f>AZ116*BB58</f>
        <v>74944.48028674738</v>
      </c>
    </row>
    <row r="117" spans="1:54" ht="12.75">
      <c r="A117" s="144"/>
      <c r="B117" s="144" t="s">
        <v>222</v>
      </c>
      <c r="C117" s="169"/>
      <c r="D117" s="228"/>
      <c r="E117" s="228"/>
      <c r="F117" s="164"/>
      <c r="G117" s="227"/>
      <c r="H117" s="169"/>
      <c r="I117" s="164"/>
      <c r="J117" s="160"/>
      <c r="K117" s="160"/>
      <c r="L117" s="160"/>
      <c r="M117" s="160"/>
      <c r="N117" s="160"/>
      <c r="O117" s="160"/>
      <c r="P117" s="160"/>
      <c r="Q117" s="160"/>
      <c r="R117" s="16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273" t="s">
        <v>21</v>
      </c>
      <c r="AU117" s="214"/>
      <c r="AV117" s="150"/>
      <c r="AW117" s="150"/>
      <c r="AX117" s="150"/>
      <c r="AY117" s="151"/>
      <c r="AZ117" s="235">
        <v>5000</v>
      </c>
      <c r="BA117" s="199"/>
      <c r="BB117" s="299">
        <f>AZ117*BB58</f>
        <v>18736.120071686844</v>
      </c>
    </row>
    <row r="118" spans="1:54" ht="12.75">
      <c r="A118" s="143" t="s">
        <v>226</v>
      </c>
      <c r="B118" s="143" t="s">
        <v>237</v>
      </c>
      <c r="C118" s="197">
        <v>623126370</v>
      </c>
      <c r="D118" s="325">
        <v>680.6094</v>
      </c>
      <c r="E118" s="325">
        <v>688.7956</v>
      </c>
      <c r="F118" s="175">
        <v>4800</v>
      </c>
      <c r="G118" s="326">
        <f t="shared" si="2"/>
        <v>8.186199999999985</v>
      </c>
      <c r="H118" s="171"/>
      <c r="I118" s="175">
        <f>G118*F118</f>
        <v>39293.75999999993</v>
      </c>
      <c r="J118" s="160"/>
      <c r="K118" s="160"/>
      <c r="L118" s="160"/>
      <c r="M118" s="160"/>
      <c r="N118" s="160"/>
      <c r="O118" s="160"/>
      <c r="P118" s="160"/>
      <c r="Q118" s="160"/>
      <c r="R118" s="16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273" t="s">
        <v>388</v>
      </c>
      <c r="AU118" s="214"/>
      <c r="AV118" s="150"/>
      <c r="AW118" s="150"/>
      <c r="AX118" s="150"/>
      <c r="AY118" s="151"/>
      <c r="AZ118" s="235">
        <v>50</v>
      </c>
      <c r="BA118" s="199"/>
      <c r="BB118" s="299">
        <f>AZ118*BB58</f>
        <v>187.36120071686847</v>
      </c>
    </row>
    <row r="119" spans="1:54" ht="12.75">
      <c r="A119" s="144"/>
      <c r="B119" s="144" t="s">
        <v>222</v>
      </c>
      <c r="C119" s="169"/>
      <c r="D119" s="228"/>
      <c r="E119" s="228"/>
      <c r="F119" s="164"/>
      <c r="G119" s="227"/>
      <c r="H119" s="169"/>
      <c r="I119" s="164"/>
      <c r="J119" s="160"/>
      <c r="K119" s="160"/>
      <c r="L119" s="160"/>
      <c r="M119" s="160"/>
      <c r="N119" s="160"/>
      <c r="O119" s="160"/>
      <c r="P119" s="160"/>
      <c r="Q119" s="160"/>
      <c r="R119" s="16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273" t="s">
        <v>365</v>
      </c>
      <c r="AU119" s="214"/>
      <c r="AV119" s="150"/>
      <c r="AW119" s="150"/>
      <c r="AX119" s="150"/>
      <c r="AY119" s="151"/>
      <c r="AZ119" s="235">
        <v>18760</v>
      </c>
      <c r="BA119" s="199"/>
      <c r="BB119" s="299">
        <f>AZ119*BB58</f>
        <v>70297.92250896904</v>
      </c>
    </row>
    <row r="120" spans="1:54" ht="12.75">
      <c r="A120" s="143" t="s">
        <v>227</v>
      </c>
      <c r="B120" s="143" t="s">
        <v>238</v>
      </c>
      <c r="C120" s="197">
        <v>623125137</v>
      </c>
      <c r="D120" s="325">
        <v>691.1362</v>
      </c>
      <c r="E120" s="325">
        <v>695.661</v>
      </c>
      <c r="F120" s="175">
        <v>4800</v>
      </c>
      <c r="G120" s="326">
        <f t="shared" si="2"/>
        <v>4.524799999999914</v>
      </c>
      <c r="H120" s="171"/>
      <c r="I120" s="175">
        <f>G120*F120</f>
        <v>21719.039999999586</v>
      </c>
      <c r="J120" s="160"/>
      <c r="K120" s="160"/>
      <c r="L120" s="160"/>
      <c r="M120" s="160"/>
      <c r="N120" s="160"/>
      <c r="O120" s="160"/>
      <c r="P120" s="160"/>
      <c r="Q120" s="160"/>
      <c r="R120" s="16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273"/>
      <c r="AU120" s="214"/>
      <c r="AV120" s="150"/>
      <c r="AW120" s="150"/>
      <c r="AX120" s="150"/>
      <c r="AY120" s="151"/>
      <c r="AZ120" s="235"/>
      <c r="BA120" s="199"/>
      <c r="BB120" s="299"/>
    </row>
    <row r="121" spans="1:54" ht="12.75">
      <c r="A121" s="144"/>
      <c r="B121" s="144" t="s">
        <v>222</v>
      </c>
      <c r="C121" s="169"/>
      <c r="D121" s="228"/>
      <c r="E121" s="228"/>
      <c r="F121" s="164"/>
      <c r="G121" s="227"/>
      <c r="H121" s="169"/>
      <c r="I121" s="164"/>
      <c r="J121" s="160"/>
      <c r="K121" s="160"/>
      <c r="L121" s="160"/>
      <c r="M121" s="160"/>
      <c r="N121" s="160"/>
      <c r="O121" s="160"/>
      <c r="P121" s="160"/>
      <c r="Q121" s="160"/>
      <c r="R121" s="16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02"/>
      <c r="AU121" s="150"/>
      <c r="AV121" s="150"/>
      <c r="AW121" s="150"/>
      <c r="AX121" s="150"/>
      <c r="AY121" s="151"/>
      <c r="AZ121" s="235"/>
      <c r="BA121" s="199"/>
      <c r="BB121" s="299"/>
    </row>
    <row r="122" spans="1:54" ht="12.75">
      <c r="A122" s="143" t="s">
        <v>228</v>
      </c>
      <c r="B122" s="143" t="s">
        <v>239</v>
      </c>
      <c r="C122" s="197">
        <v>623125142</v>
      </c>
      <c r="D122" s="325">
        <v>2401.3919</v>
      </c>
      <c r="E122" s="325">
        <v>2427.8031</v>
      </c>
      <c r="F122" s="175">
        <v>2400</v>
      </c>
      <c r="G122" s="326">
        <f t="shared" si="2"/>
        <v>26.411200000000008</v>
      </c>
      <c r="H122" s="171"/>
      <c r="I122" s="175">
        <f>G122*F122</f>
        <v>63386.88000000002</v>
      </c>
      <c r="J122" s="160"/>
      <c r="K122" s="160"/>
      <c r="L122" s="160"/>
      <c r="M122" s="160"/>
      <c r="N122" s="160"/>
      <c r="O122" s="160"/>
      <c r="P122" s="160"/>
      <c r="Q122" s="160"/>
      <c r="R122" s="16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02"/>
      <c r="AU122" s="150"/>
      <c r="AV122" s="150"/>
      <c r="AW122" s="150"/>
      <c r="AX122" s="150"/>
      <c r="AY122" s="151"/>
      <c r="AZ122" s="235"/>
      <c r="BA122" s="199"/>
      <c r="BB122" s="299"/>
    </row>
    <row r="123" spans="1:54" ht="12.75">
      <c r="A123" s="144"/>
      <c r="B123" s="144" t="s">
        <v>222</v>
      </c>
      <c r="C123" s="169"/>
      <c r="D123" s="228"/>
      <c r="E123" s="228"/>
      <c r="F123" s="164"/>
      <c r="G123" s="227"/>
      <c r="H123" s="169"/>
      <c r="I123" s="164"/>
      <c r="J123" s="160"/>
      <c r="K123" s="160"/>
      <c r="L123" s="160"/>
      <c r="M123" s="160"/>
      <c r="N123" s="160"/>
      <c r="O123" s="160"/>
      <c r="P123" s="160"/>
      <c r="Q123" s="160"/>
      <c r="R123" s="16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02"/>
      <c r="AU123" s="150"/>
      <c r="AV123" s="150"/>
      <c r="AW123" s="150"/>
      <c r="AX123" s="150"/>
      <c r="AY123" s="151"/>
      <c r="AZ123" s="235"/>
      <c r="BA123" s="199"/>
      <c r="BB123" s="299"/>
    </row>
    <row r="124" spans="1:54" ht="12.75">
      <c r="A124" s="143" t="s">
        <v>229</v>
      </c>
      <c r="B124" s="143" t="s">
        <v>240</v>
      </c>
      <c r="C124" s="197">
        <v>623125205</v>
      </c>
      <c r="D124" s="325">
        <v>1806.3211</v>
      </c>
      <c r="E124" s="325">
        <v>1841.8192</v>
      </c>
      <c r="F124" s="175">
        <v>1800</v>
      </c>
      <c r="G124" s="326">
        <f t="shared" si="2"/>
        <v>35.49810000000002</v>
      </c>
      <c r="H124" s="171"/>
      <c r="I124" s="175">
        <f>G124*F124</f>
        <v>63896.58000000004</v>
      </c>
      <c r="J124" s="160"/>
      <c r="K124" s="160"/>
      <c r="L124" s="160"/>
      <c r="M124" s="160"/>
      <c r="N124" s="160"/>
      <c r="O124" s="160"/>
      <c r="P124" s="160"/>
      <c r="Q124" s="160"/>
      <c r="R124" s="16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02"/>
      <c r="AU124" s="150"/>
      <c r="AV124" s="150"/>
      <c r="AW124" s="150"/>
      <c r="AX124" s="150"/>
      <c r="AY124" s="151"/>
      <c r="AZ124" s="235"/>
      <c r="BA124" s="199"/>
      <c r="BB124" s="299"/>
    </row>
    <row r="125" spans="1:54" ht="12.75">
      <c r="A125" s="144"/>
      <c r="B125" s="144" t="s">
        <v>222</v>
      </c>
      <c r="C125" s="169"/>
      <c r="D125" s="228"/>
      <c r="E125" s="228"/>
      <c r="F125" s="164"/>
      <c r="G125" s="227"/>
      <c r="H125" s="169"/>
      <c r="I125" s="164"/>
      <c r="J125" s="160"/>
      <c r="K125" s="160"/>
      <c r="L125" s="160"/>
      <c r="M125" s="160"/>
      <c r="N125" s="160"/>
      <c r="O125" s="160"/>
      <c r="P125" s="160"/>
      <c r="Q125" s="160"/>
      <c r="R125" s="16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02"/>
      <c r="AU125" s="150"/>
      <c r="AV125" s="150"/>
      <c r="AW125" s="150"/>
      <c r="AX125" s="150"/>
      <c r="AY125" s="151"/>
      <c r="AZ125" s="235"/>
      <c r="BA125" s="199"/>
      <c r="BB125" s="299"/>
    </row>
    <row r="126" spans="1:54" ht="12.75">
      <c r="A126" s="143" t="s">
        <v>230</v>
      </c>
      <c r="B126" s="143" t="s">
        <v>241</v>
      </c>
      <c r="C126" s="197">
        <v>623123704</v>
      </c>
      <c r="D126" s="325">
        <v>2267.017</v>
      </c>
      <c r="E126" s="325">
        <v>2309.6296</v>
      </c>
      <c r="F126" s="175">
        <v>1800</v>
      </c>
      <c r="G126" s="326">
        <f t="shared" si="2"/>
        <v>42.612600000000384</v>
      </c>
      <c r="H126" s="171"/>
      <c r="I126" s="175">
        <f>G126*F126</f>
        <v>76702.68000000069</v>
      </c>
      <c r="J126" s="160"/>
      <c r="K126" s="160"/>
      <c r="L126" s="160"/>
      <c r="M126" s="160"/>
      <c r="N126" s="160"/>
      <c r="O126" s="160"/>
      <c r="P126" s="160"/>
      <c r="Q126" s="160"/>
      <c r="R126" s="16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02"/>
      <c r="AU126" s="150"/>
      <c r="AV126" s="219"/>
      <c r="AW126" s="219"/>
      <c r="AX126" s="150"/>
      <c r="AY126" s="151"/>
      <c r="AZ126" s="235"/>
      <c r="BA126" s="199"/>
      <c r="BB126" s="299"/>
    </row>
    <row r="127" spans="1:54" ht="12.75">
      <c r="A127" s="144"/>
      <c r="B127" s="144" t="s">
        <v>222</v>
      </c>
      <c r="C127" s="169"/>
      <c r="D127" s="228"/>
      <c r="E127" s="228"/>
      <c r="F127" s="164"/>
      <c r="G127" s="227"/>
      <c r="H127" s="169"/>
      <c r="I127" s="164"/>
      <c r="J127" s="160"/>
      <c r="K127" s="160"/>
      <c r="L127" s="160"/>
      <c r="M127" s="160"/>
      <c r="N127" s="160"/>
      <c r="O127" s="160"/>
      <c r="P127" s="160"/>
      <c r="Q127" s="160"/>
      <c r="R127" s="16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60"/>
      <c r="AU127" s="120"/>
      <c r="AV127" s="120"/>
      <c r="AW127" s="120"/>
      <c r="AX127" s="120"/>
      <c r="AY127" s="120"/>
      <c r="AZ127" s="274"/>
      <c r="BA127" s="120"/>
      <c r="BB127" s="120"/>
    </row>
    <row r="128" spans="1:54" ht="12.75">
      <c r="A128" s="143" t="s">
        <v>231</v>
      </c>
      <c r="B128" s="143" t="s">
        <v>242</v>
      </c>
      <c r="C128" s="197">
        <v>623125794</v>
      </c>
      <c r="D128" s="325">
        <v>68.4749</v>
      </c>
      <c r="E128" s="325">
        <v>70.5155</v>
      </c>
      <c r="F128" s="175">
        <v>1800</v>
      </c>
      <c r="G128" s="326">
        <f>E128-D128</f>
        <v>2.0405999999999977</v>
      </c>
      <c r="H128" s="171"/>
      <c r="I128" s="175">
        <f>G128*F128</f>
        <v>3673.079999999996</v>
      </c>
      <c r="J128" s="160"/>
      <c r="K128" s="160"/>
      <c r="L128" s="160"/>
      <c r="M128" s="160"/>
      <c r="N128" s="160"/>
      <c r="O128" s="160"/>
      <c r="P128" s="160"/>
      <c r="Q128" s="160"/>
      <c r="R128" s="16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60"/>
      <c r="AU128" s="120"/>
      <c r="AV128" s="120"/>
      <c r="AW128" s="120"/>
      <c r="AX128" s="120"/>
      <c r="AY128" s="120"/>
      <c r="AZ128" s="274"/>
      <c r="BA128" s="120"/>
      <c r="BB128" s="120"/>
    </row>
    <row r="129" spans="1:54" ht="12.75">
      <c r="A129" s="144"/>
      <c r="B129" s="144" t="s">
        <v>222</v>
      </c>
      <c r="C129" s="169"/>
      <c r="D129" s="228"/>
      <c r="E129" s="228"/>
      <c r="F129" s="164"/>
      <c r="G129" s="227"/>
      <c r="H129" s="169"/>
      <c r="I129" s="164"/>
      <c r="J129" s="160"/>
      <c r="K129" s="160"/>
      <c r="L129" s="160"/>
      <c r="M129" s="160"/>
      <c r="N129" s="160"/>
      <c r="O129" s="160"/>
      <c r="P129" s="160"/>
      <c r="Q129" s="160"/>
      <c r="R129" s="16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60"/>
      <c r="AU129" s="120"/>
      <c r="AV129" s="120"/>
      <c r="AW129" s="120"/>
      <c r="AX129" s="120"/>
      <c r="AY129" s="120"/>
      <c r="AZ129" s="274"/>
      <c r="BA129" s="120"/>
      <c r="BB129" s="120"/>
    </row>
    <row r="130" spans="1:54" ht="12.75">
      <c r="A130" s="143" t="s">
        <v>232</v>
      </c>
      <c r="B130" s="143" t="s">
        <v>243</v>
      </c>
      <c r="C130" s="197">
        <v>623125736</v>
      </c>
      <c r="D130" s="325">
        <v>2873.6755</v>
      </c>
      <c r="E130" s="325">
        <v>2898.697</v>
      </c>
      <c r="F130" s="175">
        <v>1200</v>
      </c>
      <c r="G130" s="326">
        <f t="shared" si="2"/>
        <v>25.021500000000287</v>
      </c>
      <c r="H130" s="171"/>
      <c r="I130" s="175">
        <f>G130*F130</f>
        <v>30025.800000000345</v>
      </c>
      <c r="J130" s="160"/>
      <c r="K130" s="160"/>
      <c r="L130" s="160"/>
      <c r="M130" s="160"/>
      <c r="N130" s="160"/>
      <c r="O130" s="160"/>
      <c r="P130" s="160"/>
      <c r="Q130" s="160"/>
      <c r="R130" s="16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60"/>
      <c r="AU130" s="120"/>
      <c r="AV130" s="120"/>
      <c r="AW130" s="120"/>
      <c r="AX130" s="120"/>
      <c r="AY130" s="120"/>
      <c r="AZ130" s="274"/>
      <c r="BA130" s="120"/>
      <c r="BB130" s="120"/>
    </row>
    <row r="131" spans="1:54" ht="12.75">
      <c r="A131" s="144"/>
      <c r="B131" s="144" t="s">
        <v>222</v>
      </c>
      <c r="C131" s="168"/>
      <c r="D131" s="228"/>
      <c r="E131" s="228"/>
      <c r="F131" s="164"/>
      <c r="G131" s="227"/>
      <c r="H131" s="169"/>
      <c r="I131" s="164"/>
      <c r="J131" s="160"/>
      <c r="K131" s="160"/>
      <c r="L131" s="160"/>
      <c r="M131" s="160"/>
      <c r="N131" s="160"/>
      <c r="O131" s="160"/>
      <c r="P131" s="160"/>
      <c r="Q131" s="160"/>
      <c r="R131" s="16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60"/>
      <c r="AU131" s="120" t="s">
        <v>9</v>
      </c>
      <c r="AV131" s="120"/>
      <c r="AW131" s="120"/>
      <c r="AX131" s="120"/>
      <c r="AY131" s="120"/>
      <c r="AZ131" s="301">
        <f>AZ9</f>
        <v>5549135</v>
      </c>
      <c r="BA131" s="120"/>
      <c r="BB131" s="275">
        <f>SUM(BB93:BB96)+BB103+BB109+SUM(BB112:BB126)</f>
        <v>20793851.9308</v>
      </c>
    </row>
    <row r="132" spans="1:54" ht="12.75">
      <c r="A132" s="143" t="s">
        <v>233</v>
      </c>
      <c r="B132" s="145" t="s">
        <v>234</v>
      </c>
      <c r="C132" s="197">
        <v>1110171156</v>
      </c>
      <c r="D132" s="325">
        <v>1174.874</v>
      </c>
      <c r="E132" s="325">
        <v>1232.312</v>
      </c>
      <c r="F132" s="175">
        <v>40</v>
      </c>
      <c r="G132" s="326">
        <f t="shared" si="2"/>
        <v>57.437999999999874</v>
      </c>
      <c r="H132" s="171"/>
      <c r="I132" s="175">
        <f>G132*F132</f>
        <v>2297.519999999995</v>
      </c>
      <c r="J132" s="160"/>
      <c r="K132" s="160"/>
      <c r="L132" s="160"/>
      <c r="M132" s="160"/>
      <c r="N132" s="160"/>
      <c r="O132" s="160"/>
      <c r="P132" s="160"/>
      <c r="Q132" s="160"/>
      <c r="R132" s="16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60"/>
      <c r="AU132" s="120"/>
      <c r="AV132" s="120"/>
      <c r="AW132" s="120"/>
      <c r="AX132" s="120"/>
      <c r="AY132" s="120"/>
      <c r="AZ132" s="274"/>
      <c r="BA132" s="120"/>
      <c r="BB132" s="120"/>
    </row>
    <row r="133" spans="1:54" ht="12.75">
      <c r="A133" s="144"/>
      <c r="B133" s="103" t="s">
        <v>222</v>
      </c>
      <c r="C133" s="169"/>
      <c r="D133" s="379"/>
      <c r="E133" s="228"/>
      <c r="F133" s="164"/>
      <c r="G133" s="229"/>
      <c r="H133" s="169"/>
      <c r="I133" s="164"/>
      <c r="J133" s="160"/>
      <c r="K133" s="160"/>
      <c r="L133" s="160"/>
      <c r="M133" s="160"/>
      <c r="N133" s="160"/>
      <c r="O133" s="160"/>
      <c r="P133" s="160"/>
      <c r="Q133" s="160"/>
      <c r="R133" s="16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60"/>
      <c r="AU133" s="120"/>
      <c r="AV133" s="120"/>
      <c r="AW133" s="120"/>
      <c r="AX133" s="120"/>
      <c r="AY133" s="120"/>
      <c r="AZ133" s="120"/>
      <c r="BA133" s="120"/>
      <c r="BB133" s="120"/>
    </row>
    <row r="134" spans="1:54" ht="12.75">
      <c r="A134" s="201"/>
      <c r="B134" s="150"/>
      <c r="C134" s="191"/>
      <c r="D134" s="199"/>
      <c r="E134" s="200"/>
      <c r="F134" s="200"/>
      <c r="G134" s="215" t="s">
        <v>244</v>
      </c>
      <c r="H134" s="151"/>
      <c r="I134" s="235">
        <f>SUM(I112:I133)+I107</f>
        <v>1315915.6799999871</v>
      </c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60" t="s">
        <v>581</v>
      </c>
      <c r="AU134" s="120"/>
      <c r="AV134" s="120"/>
      <c r="AW134" s="120"/>
      <c r="AX134" s="120"/>
      <c r="AY134" s="120"/>
      <c r="AZ134" s="120"/>
      <c r="BA134" s="120"/>
      <c r="BB134" s="120"/>
    </row>
    <row r="135" spans="1:54" ht="12.75">
      <c r="A135" s="143" t="s">
        <v>247</v>
      </c>
      <c r="B135" s="145" t="s">
        <v>245</v>
      </c>
      <c r="C135" s="202"/>
      <c r="D135" s="202"/>
      <c r="E135" s="203"/>
      <c r="F135" s="203"/>
      <c r="G135" s="204"/>
      <c r="H135" s="146"/>
      <c r="I135" s="205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60"/>
      <c r="AU135" s="120"/>
      <c r="AV135" s="120"/>
      <c r="AW135" s="120"/>
      <c r="AX135" s="120"/>
      <c r="AY135" s="120"/>
      <c r="AZ135" s="120"/>
      <c r="BA135" s="120"/>
      <c r="BB135" s="120"/>
    </row>
    <row r="136" spans="1:54" ht="12.75">
      <c r="A136" s="173"/>
      <c r="B136" s="159" t="s">
        <v>246</v>
      </c>
      <c r="C136" s="206"/>
      <c r="D136" s="191"/>
      <c r="E136" s="207"/>
      <c r="F136" s="207"/>
      <c r="G136" s="208"/>
      <c r="H136" s="148"/>
      <c r="I136" s="209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60" t="s">
        <v>143</v>
      </c>
      <c r="AU136" s="120"/>
      <c r="AV136" s="120"/>
      <c r="AW136" s="120"/>
      <c r="AX136" s="120"/>
      <c r="AY136" s="120"/>
      <c r="AZ136" s="120"/>
      <c r="BA136" s="120"/>
      <c r="BB136" s="120"/>
    </row>
    <row r="137" spans="1:54" ht="12.75">
      <c r="A137" s="145" t="s">
        <v>248</v>
      </c>
      <c r="B137" s="143" t="s">
        <v>489</v>
      </c>
      <c r="C137" s="304"/>
      <c r="D137" s="211"/>
      <c r="E137" s="211"/>
      <c r="F137" s="155"/>
      <c r="G137" s="212"/>
      <c r="H137" s="152"/>
      <c r="I137" s="155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60"/>
      <c r="AU137" s="120"/>
      <c r="AV137" s="120"/>
      <c r="AW137" s="120"/>
      <c r="AX137" s="120"/>
      <c r="AY137" s="120"/>
      <c r="AZ137" s="120"/>
      <c r="BA137" s="120"/>
      <c r="BB137" s="120"/>
    </row>
    <row r="138" spans="1:54" ht="12.75">
      <c r="A138" s="159"/>
      <c r="B138" s="173"/>
      <c r="C138" s="305">
        <v>611127627</v>
      </c>
      <c r="D138" s="302">
        <v>2366.7188</v>
      </c>
      <c r="E138" s="302">
        <v>2402.5676</v>
      </c>
      <c r="F138" s="155">
        <v>40</v>
      </c>
      <c r="G138" s="252">
        <f>E138-D138</f>
        <v>35.848799999999756</v>
      </c>
      <c r="H138" s="155"/>
      <c r="I138" s="155">
        <f>ROUND(F138*G138+H138,0)</f>
        <v>1434</v>
      </c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60"/>
      <c r="AU138" s="120"/>
      <c r="AV138" s="120"/>
      <c r="AW138" s="120"/>
      <c r="AX138" s="120"/>
      <c r="AY138" s="120"/>
      <c r="AZ138" s="120"/>
      <c r="BA138" s="120"/>
      <c r="BB138" s="120"/>
    </row>
    <row r="139" spans="1:54" ht="12.75">
      <c r="A139" s="159"/>
      <c r="B139" s="144" t="s">
        <v>467</v>
      </c>
      <c r="C139" s="305"/>
      <c r="D139" s="306"/>
      <c r="E139" s="306"/>
      <c r="F139" s="155"/>
      <c r="G139" s="212"/>
      <c r="H139" s="155"/>
      <c r="I139" s="155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</row>
    <row r="140" spans="1:54" ht="12.75">
      <c r="A140" s="143" t="s">
        <v>251</v>
      </c>
      <c r="B140" s="161"/>
      <c r="C140" s="213">
        <v>810120245</v>
      </c>
      <c r="D140" s="302">
        <v>1281.7082</v>
      </c>
      <c r="E140" s="302">
        <v>1315.0846</v>
      </c>
      <c r="F140" s="155">
        <v>3600</v>
      </c>
      <c r="G140" s="252">
        <f aca="true" t="shared" si="3" ref="G140:G145">E140-D140</f>
        <v>33.376399999999876</v>
      </c>
      <c r="H140" s="155"/>
      <c r="I140" s="155">
        <f aca="true" t="shared" si="4" ref="I140:I145">ROUND(F140*G140+H140,0)</f>
        <v>120155</v>
      </c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</row>
    <row r="141" spans="1:54" ht="12.75">
      <c r="A141" s="173"/>
      <c r="B141" s="161" t="s">
        <v>495</v>
      </c>
      <c r="C141" s="213"/>
      <c r="D141" s="302"/>
      <c r="E141" s="302"/>
      <c r="F141" s="155"/>
      <c r="G141" s="252"/>
      <c r="H141" s="96"/>
      <c r="I141" s="155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</row>
    <row r="142" spans="1:54" ht="12.75">
      <c r="A142" s="173"/>
      <c r="B142" s="161"/>
      <c r="C142" s="210">
        <v>4050284</v>
      </c>
      <c r="D142" s="230">
        <v>4200.769</v>
      </c>
      <c r="E142" s="230">
        <v>4204.1434</v>
      </c>
      <c r="F142" s="155">
        <v>3600</v>
      </c>
      <c r="G142" s="253">
        <f t="shared" si="3"/>
        <v>3.374399999999696</v>
      </c>
      <c r="H142" s="96"/>
      <c r="I142" s="155">
        <f t="shared" si="4"/>
        <v>12148</v>
      </c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</row>
    <row r="143" spans="1:54" ht="12.75">
      <c r="A143" s="144"/>
      <c r="B143" s="149"/>
      <c r="C143" s="210"/>
      <c r="D143" s="230"/>
      <c r="E143" s="230"/>
      <c r="F143" s="155"/>
      <c r="G143" s="253"/>
      <c r="H143" s="96"/>
      <c r="I143" s="155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</row>
    <row r="144" spans="1:54" ht="12.75">
      <c r="A144" s="173" t="s">
        <v>252</v>
      </c>
      <c r="B144" s="143" t="s">
        <v>218</v>
      </c>
      <c r="C144" s="152"/>
      <c r="D144" s="211"/>
      <c r="E144" s="211"/>
      <c r="F144" s="155"/>
      <c r="G144" s="212"/>
      <c r="H144" s="96"/>
      <c r="I144" s="155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</row>
    <row r="145" spans="1:54" ht="12.75">
      <c r="A145" s="307"/>
      <c r="B145" s="173" t="s">
        <v>217</v>
      </c>
      <c r="C145" s="305">
        <v>611127492</v>
      </c>
      <c r="D145" s="302">
        <v>5734.5648</v>
      </c>
      <c r="E145" s="302">
        <v>5778.524</v>
      </c>
      <c r="F145" s="155">
        <v>20</v>
      </c>
      <c r="G145" s="252">
        <f t="shared" si="3"/>
        <v>43.95920000000024</v>
      </c>
      <c r="H145" s="155"/>
      <c r="I145" s="155">
        <f t="shared" si="4"/>
        <v>879</v>
      </c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</row>
    <row r="146" spans="1:54" ht="12.75">
      <c r="A146" s="145" t="s">
        <v>253</v>
      </c>
      <c r="B146" s="143" t="s">
        <v>490</v>
      </c>
      <c r="C146" s="309"/>
      <c r="D146" s="211"/>
      <c r="E146" s="211"/>
      <c r="F146" s="155"/>
      <c r="G146" s="212"/>
      <c r="H146" s="96"/>
      <c r="I146" s="155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</row>
    <row r="147" spans="1:54" ht="12.75">
      <c r="A147" s="308"/>
      <c r="B147" s="168" t="s">
        <v>546</v>
      </c>
      <c r="C147" s="305">
        <v>611127702</v>
      </c>
      <c r="D147" s="302">
        <v>6853.9528</v>
      </c>
      <c r="E147" s="302">
        <v>6885.0656</v>
      </c>
      <c r="F147" s="155">
        <v>60</v>
      </c>
      <c r="G147" s="252">
        <f>E147-D147</f>
        <v>31.11279999999988</v>
      </c>
      <c r="H147" s="96"/>
      <c r="I147" s="155">
        <f>ROUND(F147*G147+H147,0)</f>
        <v>1867</v>
      </c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</row>
    <row r="148" spans="1:54" ht="12.75">
      <c r="A148" s="159"/>
      <c r="B148" s="168" t="s">
        <v>547</v>
      </c>
      <c r="C148" s="305">
        <v>611127555</v>
      </c>
      <c r="D148" s="302">
        <v>1352.762</v>
      </c>
      <c r="E148" s="302">
        <v>1503.6924</v>
      </c>
      <c r="F148" s="155">
        <v>60</v>
      </c>
      <c r="G148" s="252">
        <f>E148-D148</f>
        <v>150.93039999999996</v>
      </c>
      <c r="H148" s="96"/>
      <c r="I148" s="155">
        <f>ROUND(F148*G148+H148,0)</f>
        <v>9056</v>
      </c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</row>
    <row r="149" spans="1:54" ht="12.75">
      <c r="A149" s="145" t="s">
        <v>258</v>
      </c>
      <c r="B149" s="143" t="s">
        <v>491</v>
      </c>
      <c r="C149" s="310"/>
      <c r="D149" s="232"/>
      <c r="E149" s="232"/>
      <c r="F149" s="155"/>
      <c r="G149" s="212"/>
      <c r="H149" s="96"/>
      <c r="I149" s="155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</row>
    <row r="150" spans="1:54" ht="12.75">
      <c r="A150" s="308"/>
      <c r="B150" s="173"/>
      <c r="C150" s="305">
        <v>1110171163</v>
      </c>
      <c r="D150" s="230">
        <v>350.7876</v>
      </c>
      <c r="E150" s="230">
        <v>406.6196</v>
      </c>
      <c r="F150" s="155">
        <v>60</v>
      </c>
      <c r="G150" s="252">
        <f>E150-D150</f>
        <v>55.831999999999994</v>
      </c>
      <c r="H150" s="96"/>
      <c r="I150" s="155">
        <f>ROUND(F150*G150+H150,0)</f>
        <v>3350</v>
      </c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</row>
    <row r="151" spans="1:54" ht="12.75">
      <c r="A151" s="159"/>
      <c r="B151" s="173"/>
      <c r="C151" s="305"/>
      <c r="D151" s="211"/>
      <c r="E151" s="211"/>
      <c r="F151" s="155"/>
      <c r="G151" s="212"/>
      <c r="H151" s="96"/>
      <c r="I151" s="155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</row>
    <row r="152" spans="1:54" ht="12.75">
      <c r="A152" s="145" t="s">
        <v>260</v>
      </c>
      <c r="B152" s="143" t="s">
        <v>492</v>
      </c>
      <c r="C152" s="311"/>
      <c r="D152" s="232"/>
      <c r="E152" s="232"/>
      <c r="F152" s="155"/>
      <c r="G152" s="212"/>
      <c r="H152" s="96"/>
      <c r="I152" s="155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</row>
    <row r="153" spans="1:54" ht="12.75">
      <c r="A153" s="159"/>
      <c r="B153" s="173"/>
      <c r="C153" s="305">
        <v>1110171170</v>
      </c>
      <c r="D153" s="302">
        <v>166.5536</v>
      </c>
      <c r="E153" s="302">
        <v>174.6788</v>
      </c>
      <c r="F153" s="155">
        <v>40</v>
      </c>
      <c r="G153" s="252">
        <f>E153-D153</f>
        <v>8.125200000000007</v>
      </c>
      <c r="H153" s="155"/>
      <c r="I153" s="155">
        <f>ROUND(F153*G153+H153,0)</f>
        <v>325</v>
      </c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</row>
    <row r="154" spans="1:54" ht="12.75">
      <c r="A154" s="159"/>
      <c r="B154" s="173"/>
      <c r="C154" s="305"/>
      <c r="D154" s="306"/>
      <c r="E154" s="306"/>
      <c r="F154" s="155"/>
      <c r="G154" s="212"/>
      <c r="H154" s="155"/>
      <c r="I154" s="155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</row>
    <row r="155" spans="1:54" ht="12.75">
      <c r="A155" s="143" t="s">
        <v>261</v>
      </c>
      <c r="B155" s="147" t="s">
        <v>541</v>
      </c>
      <c r="C155" s="305">
        <v>611126342</v>
      </c>
      <c r="D155" s="302">
        <v>6059.7548</v>
      </c>
      <c r="E155" s="302">
        <v>6059.7548</v>
      </c>
      <c r="F155" s="155">
        <v>1800</v>
      </c>
      <c r="G155" s="252">
        <f>E155-D155</f>
        <v>0</v>
      </c>
      <c r="H155" s="155"/>
      <c r="I155" s="155">
        <f>ROUND(F155*G155+H155,0)</f>
        <v>0</v>
      </c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</row>
    <row r="156" spans="1:54" ht="12.75">
      <c r="A156" s="173"/>
      <c r="B156" s="161" t="s">
        <v>469</v>
      </c>
      <c r="C156" s="305">
        <v>611126404</v>
      </c>
      <c r="D156" s="302">
        <v>842.4975</v>
      </c>
      <c r="E156" s="302">
        <v>853.4855</v>
      </c>
      <c r="F156" s="155">
        <v>1800</v>
      </c>
      <c r="G156" s="252">
        <f>E156-D156</f>
        <v>10.988000000000056</v>
      </c>
      <c r="H156" s="155"/>
      <c r="I156" s="155">
        <f>ROUND(F156*G156+H156,0)</f>
        <v>19778</v>
      </c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</row>
    <row r="157" spans="1:54" ht="12.75">
      <c r="A157" s="144"/>
      <c r="B157" s="149" t="s">
        <v>509</v>
      </c>
      <c r="C157" s="305">
        <v>611126334</v>
      </c>
      <c r="D157" s="302">
        <v>0.1356</v>
      </c>
      <c r="E157" s="302">
        <v>0.1356</v>
      </c>
      <c r="F157" s="155">
        <v>1800</v>
      </c>
      <c r="G157" s="252">
        <f>E157-D157</f>
        <v>0</v>
      </c>
      <c r="H157" s="96"/>
      <c r="I157" s="155">
        <f>ROUND(F157*G157+H157,0)</f>
        <v>0</v>
      </c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</row>
    <row r="158" spans="1:54" ht="12.75">
      <c r="A158" s="159" t="s">
        <v>477</v>
      </c>
      <c r="B158" s="143" t="s">
        <v>493</v>
      </c>
      <c r="C158" s="305">
        <v>611127724</v>
      </c>
      <c r="D158" s="302">
        <v>626.4836</v>
      </c>
      <c r="E158" s="302">
        <v>634.3584</v>
      </c>
      <c r="F158" s="155">
        <v>30</v>
      </c>
      <c r="G158" s="252">
        <f>E158-D158</f>
        <v>7.8747999999999365</v>
      </c>
      <c r="H158" s="155"/>
      <c r="I158" s="155">
        <f>ROUND(F158*G158+H158,0)</f>
        <v>236</v>
      </c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</row>
    <row r="159" spans="1:54" ht="12.75">
      <c r="A159" s="103"/>
      <c r="B159" s="173" t="s">
        <v>540</v>
      </c>
      <c r="C159" s="305"/>
      <c r="D159" s="306"/>
      <c r="E159" s="306"/>
      <c r="F159" s="155"/>
      <c r="G159" s="212"/>
      <c r="H159" s="155"/>
      <c r="I159" s="155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</row>
    <row r="160" spans="1:54" ht="12.75">
      <c r="A160" s="96"/>
      <c r="B160" s="312"/>
      <c r="C160" s="171"/>
      <c r="D160" s="306"/>
      <c r="E160" s="306"/>
      <c r="F160" s="155"/>
      <c r="G160" s="212"/>
      <c r="H160" s="155"/>
      <c r="I160" s="155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</row>
    <row r="161" spans="1:54" ht="12.75">
      <c r="A161" s="103"/>
      <c r="B161" s="148"/>
      <c r="C161" s="150"/>
      <c r="D161" s="150"/>
      <c r="E161" s="150"/>
      <c r="F161" s="150" t="s">
        <v>264</v>
      </c>
      <c r="G161" s="150"/>
      <c r="H161" s="151"/>
      <c r="I161" s="235">
        <f>SUM(I137:I159)-I160</f>
        <v>169228</v>
      </c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</row>
    <row r="162" spans="1:54" ht="12.75">
      <c r="A162" s="102"/>
      <c r="B162" s="150"/>
      <c r="C162" s="150"/>
      <c r="D162" s="150"/>
      <c r="E162" s="150"/>
      <c r="F162" s="150"/>
      <c r="G162" s="150" t="s">
        <v>265</v>
      </c>
      <c r="H162" s="151"/>
      <c r="I162" s="235">
        <f>I103+I104+I107+I108+I109+I110-I134-I161</f>
        <v>2972484.3200000054</v>
      </c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</row>
    <row r="163" spans="1:54" ht="12.75">
      <c r="A163" s="96" t="s">
        <v>272</v>
      </c>
      <c r="B163" s="102" t="s">
        <v>266</v>
      </c>
      <c r="C163" s="150"/>
      <c r="D163" s="150"/>
      <c r="E163" s="150"/>
      <c r="F163" s="150"/>
      <c r="G163" s="150"/>
      <c r="H163" s="150"/>
      <c r="I163" s="151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</row>
    <row r="164" spans="1:54" ht="12.75">
      <c r="A164" s="143" t="s">
        <v>270</v>
      </c>
      <c r="B164" s="143" t="s">
        <v>267</v>
      </c>
      <c r="C164" s="171">
        <v>18705639</v>
      </c>
      <c r="D164" s="321">
        <v>38</v>
      </c>
      <c r="E164" s="321">
        <v>38</v>
      </c>
      <c r="F164" s="175">
        <v>30</v>
      </c>
      <c r="G164" s="322">
        <f>E164-D164</f>
        <v>0</v>
      </c>
      <c r="H164" s="143"/>
      <c r="I164" s="175">
        <f>F164*G164+H164</f>
        <v>0</v>
      </c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</row>
    <row r="165" spans="1:54" ht="12.75">
      <c r="A165" s="144"/>
      <c r="B165" s="144" t="s">
        <v>268</v>
      </c>
      <c r="C165" s="169"/>
      <c r="D165" s="144"/>
      <c r="E165" s="144"/>
      <c r="F165" s="164"/>
      <c r="G165" s="144"/>
      <c r="H165" s="144"/>
      <c r="I165" s="144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</row>
    <row r="166" spans="1:54" ht="12.75">
      <c r="A166" s="143" t="s">
        <v>271</v>
      </c>
      <c r="B166" s="143" t="s">
        <v>269</v>
      </c>
      <c r="C166" s="171">
        <v>18705843</v>
      </c>
      <c r="D166" s="321">
        <v>204.4</v>
      </c>
      <c r="E166" s="321">
        <v>204.4</v>
      </c>
      <c r="F166" s="175">
        <v>30</v>
      </c>
      <c r="G166" s="233">
        <f>E166-D166</f>
        <v>0</v>
      </c>
      <c r="H166" s="143"/>
      <c r="I166" s="175">
        <f>F166*G166+H166</f>
        <v>0</v>
      </c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</row>
    <row r="167" spans="1:54" ht="12.75">
      <c r="A167" s="144"/>
      <c r="B167" s="144" t="s">
        <v>268</v>
      </c>
      <c r="C167" s="169"/>
      <c r="D167" s="144"/>
      <c r="E167" s="144"/>
      <c r="F167" s="164"/>
      <c r="G167" s="144"/>
      <c r="H167" s="144"/>
      <c r="I167" s="144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</row>
    <row r="168" spans="1:54" ht="12.75">
      <c r="A168" s="102"/>
      <c r="B168" s="150"/>
      <c r="C168" s="217"/>
      <c r="D168" s="199"/>
      <c r="E168" s="218"/>
      <c r="F168" s="218" t="s">
        <v>273</v>
      </c>
      <c r="G168" s="219"/>
      <c r="H168" s="151"/>
      <c r="I168" s="155">
        <f>I164+I166</f>
        <v>0</v>
      </c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</row>
    <row r="169" spans="1:54" ht="12.75">
      <c r="A169" s="102"/>
      <c r="B169" s="150"/>
      <c r="C169" s="217"/>
      <c r="D169" s="199"/>
      <c r="E169" s="218"/>
      <c r="F169" s="218"/>
      <c r="G169" s="219" t="s">
        <v>274</v>
      </c>
      <c r="H169" s="151"/>
      <c r="I169" s="235">
        <f>I162+I168</f>
        <v>2972484.3200000054</v>
      </c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</row>
    <row r="170" spans="1:54" ht="12.75">
      <c r="A170" s="145" t="s">
        <v>275</v>
      </c>
      <c r="B170" s="146"/>
      <c r="C170" s="220"/>
      <c r="D170" s="202"/>
      <c r="E170" s="221"/>
      <c r="F170" s="221"/>
      <c r="G170" s="204"/>
      <c r="H170" s="146"/>
      <c r="I170" s="205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</row>
    <row r="171" spans="1:54" ht="12.75">
      <c r="A171" s="222" t="s">
        <v>538</v>
      </c>
      <c r="B171" s="223"/>
      <c r="C171" s="223"/>
      <c r="D171" s="191"/>
      <c r="E171" s="148"/>
      <c r="F171" s="148"/>
      <c r="G171" s="148"/>
      <c r="H171" s="148"/>
      <c r="I171" s="209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</row>
    <row r="172" spans="1:54" ht="12.75">
      <c r="A172" s="160" t="s">
        <v>279</v>
      </c>
      <c r="B172" s="160"/>
      <c r="C172" s="264"/>
      <c r="D172" s="181"/>
      <c r="E172" s="265"/>
      <c r="F172" s="265"/>
      <c r="G172" s="188"/>
      <c r="H172" s="160"/>
      <c r="I172" s="19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</row>
    <row r="173" spans="1:54" ht="12.75">
      <c r="A173" s="160"/>
      <c r="B173" s="160"/>
      <c r="C173" s="181"/>
      <c r="D173" s="313" t="s">
        <v>280</v>
      </c>
      <c r="E173" s="313"/>
      <c r="F173" s="314"/>
      <c r="G173" s="243"/>
      <c r="H173" s="243"/>
      <c r="I173" s="189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</row>
    <row r="174" spans="1:54" ht="12.75">
      <c r="A174" s="160"/>
      <c r="B174" s="160"/>
      <c r="C174" s="181"/>
      <c r="D174" s="313" t="s">
        <v>531</v>
      </c>
      <c r="E174" s="313"/>
      <c r="F174" s="314"/>
      <c r="G174" s="243"/>
      <c r="H174" s="243"/>
      <c r="I174" s="189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</row>
    <row r="175" spans="1:54" ht="12.75">
      <c r="A175" s="160"/>
      <c r="B175" s="160"/>
      <c r="C175" s="264"/>
      <c r="D175" s="313" t="s">
        <v>539</v>
      </c>
      <c r="E175" s="313"/>
      <c r="F175" s="314"/>
      <c r="G175" s="243"/>
      <c r="H175" s="243"/>
      <c r="I175" s="189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</row>
    <row r="176" spans="1:54" ht="12.75">
      <c r="A176" s="160"/>
      <c r="B176" s="160"/>
      <c r="C176" s="160"/>
      <c r="D176" s="160"/>
      <c r="E176" s="160"/>
      <c r="F176" s="160"/>
      <c r="G176" s="160"/>
      <c r="H176" s="160"/>
      <c r="I176" s="16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</row>
    <row r="177" spans="1:54" ht="12.75">
      <c r="A177" s="160"/>
      <c r="B177" s="160"/>
      <c r="C177" s="160"/>
      <c r="D177" s="160"/>
      <c r="E177" s="160"/>
      <c r="F177" s="160"/>
      <c r="G177" s="160"/>
      <c r="H177" s="160"/>
      <c r="I177" s="16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 t="s">
        <v>519</v>
      </c>
      <c r="BA177" s="120"/>
      <c r="BB177" s="120"/>
    </row>
    <row r="178" spans="1:54" ht="12.75">
      <c r="A178" s="160"/>
      <c r="B178" s="160"/>
      <c r="C178" s="315"/>
      <c r="D178" s="316"/>
      <c r="E178" s="316"/>
      <c r="F178" s="180"/>
      <c r="G178" s="317"/>
      <c r="H178" s="160"/>
      <c r="I178" s="18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 t="s">
        <v>513</v>
      </c>
      <c r="BA178" s="120" t="s">
        <v>109</v>
      </c>
      <c r="BB178" s="120"/>
    </row>
    <row r="179" spans="1:54" ht="12.75">
      <c r="A179" s="243"/>
      <c r="B179" s="160"/>
      <c r="C179" s="315"/>
      <c r="D179" s="316"/>
      <c r="E179" s="316"/>
      <c r="F179" s="180"/>
      <c r="G179" s="317"/>
      <c r="H179" s="160"/>
      <c r="I179" s="18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 t="s">
        <v>510</v>
      </c>
      <c r="AZ179" s="301">
        <f>AZ183+AZ184+AZ185</f>
        <v>3105881</v>
      </c>
      <c r="BA179" s="370">
        <f>AZ179*2.9</f>
        <v>9007054.9</v>
      </c>
      <c r="BB179" s="120"/>
    </row>
    <row r="180" spans="1:54" ht="12.75">
      <c r="A180" s="160"/>
      <c r="B180" s="160"/>
      <c r="C180" s="160"/>
      <c r="D180" s="160"/>
      <c r="E180" s="160"/>
      <c r="F180" s="160"/>
      <c r="G180" s="160"/>
      <c r="H180" s="160"/>
      <c r="I180" s="16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 t="s">
        <v>511</v>
      </c>
      <c r="AZ180" s="301">
        <f>AZ187-AZ179-AZ181</f>
        <v>2279474</v>
      </c>
      <c r="BA180" s="370">
        <f>AZ180*2.9</f>
        <v>6610474.6</v>
      </c>
      <c r="BB180" s="120"/>
    </row>
    <row r="181" spans="1:54" ht="12.75">
      <c r="A181" s="160"/>
      <c r="B181" s="160"/>
      <c r="C181" s="160"/>
      <c r="D181" s="160"/>
      <c r="E181" s="160"/>
      <c r="F181" s="160"/>
      <c r="G181" s="160"/>
      <c r="H181" s="160"/>
      <c r="I181" s="16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 t="s">
        <v>512</v>
      </c>
      <c r="AZ181" s="301">
        <f>AZ186</f>
        <v>163780</v>
      </c>
      <c r="BA181" s="370">
        <f>AZ181*2.9</f>
        <v>474962</v>
      </c>
      <c r="BB181" s="120"/>
    </row>
    <row r="182" spans="52:53" ht="12.75">
      <c r="AZ182" s="368"/>
      <c r="BA182" s="368"/>
    </row>
    <row r="183" spans="51:53" ht="12.75">
      <c r="AY183" s="120" t="s">
        <v>514</v>
      </c>
      <c r="AZ183" s="369">
        <v>2742934</v>
      </c>
      <c r="BA183" s="368"/>
    </row>
    <row r="184" spans="51:53" ht="12.75">
      <c r="AY184" s="120" t="s">
        <v>515</v>
      </c>
      <c r="AZ184" s="369">
        <f>AZ95</f>
        <v>181094</v>
      </c>
      <c r="BA184" s="368"/>
    </row>
    <row r="185" spans="51:53" ht="12.75">
      <c r="AY185" s="120" t="s">
        <v>517</v>
      </c>
      <c r="AZ185" s="369">
        <v>181853</v>
      </c>
      <c r="BA185" s="368"/>
    </row>
    <row r="186" spans="51:53" ht="12.75">
      <c r="AY186" s="120" t="s">
        <v>518</v>
      </c>
      <c r="AZ186" s="369">
        <v>163780</v>
      </c>
      <c r="BA186" s="368"/>
    </row>
    <row r="187" spans="51:52" ht="12.75">
      <c r="AY187" s="120" t="s">
        <v>516</v>
      </c>
      <c r="AZ187" s="369">
        <f>AZ131</f>
        <v>5549135</v>
      </c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 t="s">
        <v>552</v>
      </c>
      <c r="C196" s="4"/>
      <c r="D196" s="380">
        <v>42311.2</v>
      </c>
      <c r="E196" s="380">
        <v>42325.9</v>
      </c>
      <c r="F196" s="380">
        <v>1800</v>
      </c>
      <c r="G196" s="380">
        <f>E196-D196</f>
        <v>14.700000000004366</v>
      </c>
      <c r="H196" s="380"/>
      <c r="I196" s="155">
        <f>ROUND(F196*G196+H196,0)</f>
        <v>26460</v>
      </c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2.75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2.75">
      <c r="A200" s="11"/>
      <c r="B200" s="11"/>
      <c r="C200" s="11"/>
      <c r="D200" s="11"/>
      <c r="E200" s="11"/>
      <c r="F200" s="11"/>
      <c r="G200" s="11"/>
      <c r="H200" s="11"/>
      <c r="I200" s="11"/>
    </row>
    <row r="201" spans="1:9" ht="12.75">
      <c r="A201" s="11"/>
      <c r="B201" s="11"/>
      <c r="C201" s="11"/>
      <c r="D201" s="11"/>
      <c r="E201" s="10"/>
      <c r="F201" s="10"/>
      <c r="G201" s="11"/>
      <c r="H201" s="11"/>
      <c r="I201" s="11"/>
    </row>
    <row r="202" spans="1:9" ht="12.75">
      <c r="A202" s="48"/>
      <c r="B202" s="48"/>
      <c r="C202" s="48"/>
      <c r="D202" s="48"/>
      <c r="E202" s="48"/>
      <c r="F202" s="48"/>
      <c r="G202" s="48"/>
      <c r="H202" s="48"/>
      <c r="I202" s="48"/>
    </row>
    <row r="203" spans="1:9" ht="12.75">
      <c r="A203" s="11"/>
      <c r="B203" s="11"/>
      <c r="C203" s="11"/>
      <c r="D203" s="11"/>
      <c r="E203" s="64"/>
      <c r="F203" s="64"/>
      <c r="G203" s="11"/>
      <c r="H203" s="11"/>
      <c r="I203" s="65"/>
    </row>
    <row r="204" spans="1:9" ht="12.75">
      <c r="A204" s="11"/>
      <c r="B204" s="11"/>
      <c r="C204" s="11"/>
      <c r="D204" s="66"/>
      <c r="E204" s="64"/>
      <c r="F204" s="11"/>
      <c r="G204" s="11"/>
      <c r="H204" s="11"/>
      <c r="I204" s="65"/>
    </row>
    <row r="205" spans="1:9" ht="12.75">
      <c r="A205" s="11"/>
      <c r="B205" s="11"/>
      <c r="C205" s="11"/>
      <c r="D205" s="11"/>
      <c r="E205" s="11"/>
      <c r="F205" s="11"/>
      <c r="G205" s="11"/>
      <c r="H205" s="11"/>
      <c r="I205" s="65"/>
    </row>
    <row r="206" spans="1:9" ht="12.75">
      <c r="A206" s="48"/>
      <c r="B206" s="11"/>
      <c r="C206" s="11"/>
      <c r="D206" s="11"/>
      <c r="E206" s="11"/>
      <c r="F206" s="11"/>
      <c r="G206" s="11"/>
      <c r="H206" s="11"/>
      <c r="I206" s="65"/>
    </row>
    <row r="207" spans="1:9" ht="12.75">
      <c r="A207" s="67"/>
      <c r="B207" s="67"/>
      <c r="C207" s="67"/>
      <c r="D207" s="67"/>
      <c r="E207" s="67"/>
      <c r="F207" s="67"/>
      <c r="G207" s="67"/>
      <c r="H207" s="67"/>
      <c r="I207" s="68"/>
    </row>
    <row r="208" spans="1:9" ht="12.75">
      <c r="A208" s="11"/>
      <c r="B208" s="11"/>
      <c r="C208" s="11"/>
      <c r="D208" s="11"/>
      <c r="E208" s="11"/>
      <c r="F208" s="11"/>
      <c r="G208" s="11"/>
      <c r="H208" s="11"/>
      <c r="I208" s="65"/>
    </row>
    <row r="209" spans="1:9" ht="12.75">
      <c r="A209" s="11"/>
      <c r="B209" s="11"/>
      <c r="C209" s="11"/>
      <c r="D209" s="11"/>
      <c r="E209" s="11"/>
      <c r="F209" s="11"/>
      <c r="G209" s="11"/>
      <c r="H209" s="11"/>
      <c r="I209" s="65"/>
    </row>
    <row r="210" spans="1:9" ht="12.75">
      <c r="A210" s="11"/>
      <c r="B210" s="11"/>
      <c r="C210" s="11"/>
      <c r="D210" s="11"/>
      <c r="E210" s="11"/>
      <c r="F210" s="11"/>
      <c r="G210" s="11"/>
      <c r="H210" s="11"/>
      <c r="I210" s="65"/>
    </row>
  </sheetData>
  <sheetProtection/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200"/>
  <sheetViews>
    <sheetView zoomScalePageLayoutView="0" workbookViewId="0" topLeftCell="A1">
      <selection activeCell="E201" sqref="E201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25390625" style="0" customWidth="1"/>
    <col min="4" max="5" width="11.00390625" style="0" customWidth="1"/>
    <col min="6" max="6" width="9.375" style="0" customWidth="1"/>
    <col min="7" max="7" width="9.25390625" style="0" customWidth="1"/>
    <col min="8" max="8" width="8.25390625" style="0" customWidth="1"/>
    <col min="9" max="9" width="13.125" style="0" customWidth="1"/>
    <col min="10" max="10" width="7.25390625" style="0" customWidth="1"/>
    <col min="11" max="11" width="36.375" style="0" customWidth="1"/>
    <col min="12" max="12" width="16.625" style="0" customWidth="1"/>
    <col min="13" max="13" width="10.125" style="0" customWidth="1"/>
    <col min="14" max="14" width="12.125" style="0" customWidth="1"/>
    <col min="15" max="15" width="8.75390625" style="0" customWidth="1"/>
    <col min="16" max="16" width="9.625" style="0" customWidth="1"/>
    <col min="17" max="17" width="8.625" style="0" customWidth="1"/>
    <col min="18" max="18" width="11.75390625" style="0" customWidth="1"/>
    <col min="19" max="19" width="6.75390625" style="0" customWidth="1"/>
    <col min="21" max="21" width="11.875" style="0" customWidth="1"/>
    <col min="22" max="22" width="31.00390625" style="0" customWidth="1"/>
    <col min="23" max="23" width="12.00390625" style="0" customWidth="1"/>
    <col min="24" max="24" width="12.375" style="0" customWidth="1"/>
    <col min="25" max="25" width="11.00390625" style="0" customWidth="1"/>
    <col min="26" max="26" width="12.375" style="0" customWidth="1"/>
    <col min="27" max="27" width="11.375" style="0" customWidth="1"/>
    <col min="28" max="28" width="6.375" style="0" customWidth="1"/>
    <col min="29" max="29" width="11.375" style="0" customWidth="1"/>
    <col min="31" max="31" width="30.875" style="0" customWidth="1"/>
    <col min="32" max="32" width="13.00390625" style="0" customWidth="1"/>
    <col min="33" max="33" width="12.00390625" style="0" customWidth="1"/>
    <col min="34" max="34" width="10.75390625" style="0" customWidth="1"/>
    <col min="35" max="35" width="13.00390625" style="0" customWidth="1"/>
    <col min="36" max="36" width="11.25390625" style="0" customWidth="1"/>
    <col min="37" max="37" width="6.625" style="0" customWidth="1"/>
    <col min="40" max="40" width="29.25390625" style="0" customWidth="1"/>
    <col min="41" max="41" width="11.375" style="0" customWidth="1"/>
    <col min="42" max="42" width="12.00390625" style="0" customWidth="1"/>
    <col min="43" max="43" width="12.125" style="0" customWidth="1"/>
    <col min="44" max="44" width="12.25390625" style="0" customWidth="1"/>
    <col min="45" max="45" width="12.00390625" style="0" customWidth="1"/>
    <col min="51" max="51" width="21.125" style="0" customWidth="1"/>
    <col min="52" max="52" width="14.875" style="0" customWidth="1"/>
    <col min="53" max="53" width="15.375" style="0" customWidth="1"/>
    <col min="54" max="54" width="18.75390625" style="0" customWidth="1"/>
  </cols>
  <sheetData>
    <row r="1" spans="1:54" ht="12.7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60"/>
      <c r="T1" s="160"/>
      <c r="U1" s="160"/>
      <c r="V1" s="160"/>
      <c r="W1" s="160"/>
      <c r="X1" s="160"/>
      <c r="Y1" s="160"/>
      <c r="Z1" s="160"/>
      <c r="AA1" s="16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60"/>
      <c r="AU1" s="120"/>
      <c r="AV1" s="120"/>
      <c r="AW1" s="120"/>
      <c r="AX1" s="120"/>
      <c r="AY1" s="120"/>
      <c r="AZ1" s="120"/>
      <c r="BA1" s="120"/>
      <c r="BB1" s="120"/>
    </row>
    <row r="2" spans="1:54" ht="12.75" customHeight="1">
      <c r="A2" s="120"/>
      <c r="B2" s="120"/>
      <c r="C2" s="120"/>
      <c r="D2" s="120" t="s">
        <v>192</v>
      </c>
      <c r="E2" s="120"/>
      <c r="F2" s="120"/>
      <c r="G2" s="120"/>
      <c r="H2" s="120"/>
      <c r="I2" s="120"/>
      <c r="J2" s="120"/>
      <c r="K2" s="120"/>
      <c r="L2" s="120"/>
      <c r="M2" s="120" t="s">
        <v>288</v>
      </c>
      <c r="N2" s="120"/>
      <c r="O2" s="120"/>
      <c r="P2" s="120"/>
      <c r="Q2" s="120"/>
      <c r="R2" s="120"/>
      <c r="S2" s="160"/>
      <c r="T2" s="160"/>
      <c r="U2" s="160"/>
      <c r="V2" s="160"/>
      <c r="W2" s="160"/>
      <c r="X2" s="160"/>
      <c r="Y2" s="160"/>
      <c r="Z2" s="160"/>
      <c r="AA2" s="160"/>
      <c r="AB2" s="120" t="s">
        <v>325</v>
      </c>
      <c r="AC2" s="120"/>
      <c r="AD2" s="120"/>
      <c r="AE2" s="120"/>
      <c r="AF2" s="120"/>
      <c r="AG2" s="120"/>
      <c r="AH2" s="120"/>
      <c r="AI2" s="120"/>
      <c r="AJ2" s="120"/>
      <c r="AK2" s="120" t="s">
        <v>325</v>
      </c>
      <c r="AL2" s="120"/>
      <c r="AM2" s="120"/>
      <c r="AN2" s="120"/>
      <c r="AO2" s="120"/>
      <c r="AP2" s="120"/>
      <c r="AQ2" s="120"/>
      <c r="AR2" s="120"/>
      <c r="AS2" s="120"/>
      <c r="AT2" s="160" t="s">
        <v>530</v>
      </c>
      <c r="AU2" s="120"/>
      <c r="AV2" s="120"/>
      <c r="AW2" s="120"/>
      <c r="AX2" s="120"/>
      <c r="AY2" s="120"/>
      <c r="AZ2" s="120"/>
      <c r="BA2" s="120"/>
      <c r="BB2" s="120"/>
    </row>
    <row r="3" spans="1:54" ht="12.75" customHeight="1">
      <c r="A3" s="120"/>
      <c r="B3" s="120"/>
      <c r="C3" s="120"/>
      <c r="D3" s="120" t="s">
        <v>193</v>
      </c>
      <c r="E3" s="120"/>
      <c r="F3" s="120"/>
      <c r="G3" s="120"/>
      <c r="H3" s="120"/>
      <c r="I3" s="120"/>
      <c r="J3" s="120"/>
      <c r="K3" s="120"/>
      <c r="L3" s="120"/>
      <c r="M3" s="120" t="s">
        <v>289</v>
      </c>
      <c r="N3" s="120"/>
      <c r="O3" s="120"/>
      <c r="P3" s="120"/>
      <c r="Q3" s="120"/>
      <c r="R3" s="120"/>
      <c r="S3" s="120" t="s">
        <v>325</v>
      </c>
      <c r="T3" s="120"/>
      <c r="U3" s="120"/>
      <c r="V3" s="120"/>
      <c r="W3" s="120"/>
      <c r="X3" s="120"/>
      <c r="Y3" s="120"/>
      <c r="Z3" s="120"/>
      <c r="AA3" s="120"/>
      <c r="AB3" s="120" t="s">
        <v>324</v>
      </c>
      <c r="AC3" s="120"/>
      <c r="AD3" s="120"/>
      <c r="AE3" s="120"/>
      <c r="AF3" s="120"/>
      <c r="AG3" s="120"/>
      <c r="AH3" s="120"/>
      <c r="AI3" s="120"/>
      <c r="AJ3" s="120"/>
      <c r="AK3" s="120" t="s">
        <v>324</v>
      </c>
      <c r="AL3" s="120"/>
      <c r="AM3" s="120"/>
      <c r="AN3" s="120"/>
      <c r="AO3" s="120"/>
      <c r="AP3" s="120"/>
      <c r="AQ3" s="120"/>
      <c r="AR3" s="120"/>
      <c r="AS3" s="120"/>
      <c r="AT3" s="160" t="s">
        <v>532</v>
      </c>
      <c r="AU3" s="120"/>
      <c r="AV3" s="120"/>
      <c r="AW3" s="120"/>
      <c r="AX3" s="120"/>
      <c r="AY3" s="120"/>
      <c r="AZ3" s="120"/>
      <c r="BA3" s="120"/>
      <c r="BB3" s="120"/>
    </row>
    <row r="4" spans="1:54" ht="12.7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 t="s">
        <v>324</v>
      </c>
      <c r="T4" s="120"/>
      <c r="U4" s="120"/>
      <c r="V4" s="120"/>
      <c r="W4" s="120"/>
      <c r="X4" s="120"/>
      <c r="Y4" s="120"/>
      <c r="Z4" s="120"/>
      <c r="AA4" s="120"/>
      <c r="AB4" s="120" t="s">
        <v>326</v>
      </c>
      <c r="AC4" s="120"/>
      <c r="AD4" s="120"/>
      <c r="AE4" s="120"/>
      <c r="AF4" s="120"/>
      <c r="AG4" s="120"/>
      <c r="AH4" s="120"/>
      <c r="AI4" s="120"/>
      <c r="AJ4" s="120"/>
      <c r="AK4" s="120" t="s">
        <v>326</v>
      </c>
      <c r="AL4" s="120"/>
      <c r="AM4" s="120"/>
      <c r="AN4" s="120"/>
      <c r="AO4" s="120"/>
      <c r="AP4" s="120"/>
      <c r="AQ4" s="120"/>
      <c r="AR4" s="120"/>
      <c r="AS4" s="120"/>
      <c r="AT4" s="160"/>
      <c r="AU4" s="120" t="s">
        <v>400</v>
      </c>
      <c r="AV4" s="120"/>
      <c r="AW4" s="120"/>
      <c r="AX4" s="120"/>
      <c r="AY4" s="254" t="s">
        <v>386</v>
      </c>
      <c r="AZ4" s="254" t="s">
        <v>555</v>
      </c>
      <c r="BA4" s="120"/>
      <c r="BB4" s="120"/>
    </row>
    <row r="5" spans="1:54" ht="12.75" customHeight="1">
      <c r="A5" s="120"/>
      <c r="B5" s="120"/>
      <c r="C5" s="120" t="s">
        <v>194</v>
      </c>
      <c r="D5" s="120"/>
      <c r="E5" s="120"/>
      <c r="F5" s="120"/>
      <c r="G5" s="120"/>
      <c r="H5" s="120"/>
      <c r="I5" s="120"/>
      <c r="J5" s="120"/>
      <c r="K5" s="120"/>
      <c r="L5" s="120" t="s">
        <v>194</v>
      </c>
      <c r="M5" s="120"/>
      <c r="N5" s="120"/>
      <c r="O5" s="120"/>
      <c r="P5" s="120"/>
      <c r="Q5" s="120"/>
      <c r="R5" s="120"/>
      <c r="S5" s="120" t="s">
        <v>326</v>
      </c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45"/>
      <c r="AU5" s="146" t="s">
        <v>405</v>
      </c>
      <c r="AV5" s="146"/>
      <c r="AW5" s="146"/>
      <c r="AX5" s="146"/>
      <c r="AY5" s="146"/>
      <c r="AZ5" s="145" t="s">
        <v>406</v>
      </c>
      <c r="BA5" s="145" t="s">
        <v>407</v>
      </c>
      <c r="BB5" s="143" t="s">
        <v>364</v>
      </c>
    </row>
    <row r="6" spans="1:54" ht="12.75" customHeight="1">
      <c r="A6" s="120"/>
      <c r="B6" s="120"/>
      <c r="C6" s="120"/>
      <c r="D6" s="277" t="s">
        <v>582</v>
      </c>
      <c r="E6" s="277"/>
      <c r="F6" s="120"/>
      <c r="G6" s="120"/>
      <c r="H6" s="120"/>
      <c r="I6" s="120"/>
      <c r="J6" s="120"/>
      <c r="K6" s="120"/>
      <c r="L6" s="120"/>
      <c r="M6" s="277" t="s">
        <v>582</v>
      </c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59"/>
      <c r="AU6" s="160"/>
      <c r="AV6" s="160"/>
      <c r="AW6" s="160"/>
      <c r="AX6" s="160"/>
      <c r="AY6" s="160"/>
      <c r="AZ6" s="159" t="s">
        <v>413</v>
      </c>
      <c r="BA6" s="159" t="s">
        <v>177</v>
      </c>
      <c r="BB6" s="173" t="s">
        <v>80</v>
      </c>
    </row>
    <row r="7" spans="1:54" ht="12.75" customHeight="1">
      <c r="A7" s="120" t="s">
        <v>528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59"/>
      <c r="AU7" s="160"/>
      <c r="AV7" s="160"/>
      <c r="AW7" s="160"/>
      <c r="AX7" s="160"/>
      <c r="AY7" s="160"/>
      <c r="AZ7" s="103" t="s">
        <v>178</v>
      </c>
      <c r="BA7" s="103"/>
      <c r="BB7" s="144" t="s">
        <v>81</v>
      </c>
    </row>
    <row r="8" spans="1:54" ht="12.75" customHeight="1">
      <c r="A8" s="120" t="s">
        <v>196</v>
      </c>
      <c r="B8" s="120"/>
      <c r="C8" s="120"/>
      <c r="D8" s="120"/>
      <c r="E8" s="120"/>
      <c r="F8" s="120"/>
      <c r="G8" s="120"/>
      <c r="H8" s="120"/>
      <c r="I8" s="120"/>
      <c r="J8" s="120" t="s">
        <v>528</v>
      </c>
      <c r="K8" s="120"/>
      <c r="L8" s="120"/>
      <c r="M8" s="120"/>
      <c r="N8" s="120"/>
      <c r="O8" s="120"/>
      <c r="P8" s="120"/>
      <c r="Q8" s="120"/>
      <c r="R8" s="120"/>
      <c r="S8" s="120" t="s">
        <v>357</v>
      </c>
      <c r="T8" s="120"/>
      <c r="U8" s="120"/>
      <c r="V8" s="120"/>
      <c r="W8" s="120"/>
      <c r="X8" s="120"/>
      <c r="Y8" s="120"/>
      <c r="Z8" s="120"/>
      <c r="AA8" s="120"/>
      <c r="AB8" s="120" t="s">
        <v>357</v>
      </c>
      <c r="AC8" s="120"/>
      <c r="AD8" s="120"/>
      <c r="AE8" s="120"/>
      <c r="AF8" s="120"/>
      <c r="AG8" s="120"/>
      <c r="AH8" s="120"/>
      <c r="AI8" s="120"/>
      <c r="AJ8" s="120"/>
      <c r="AK8" s="120" t="s">
        <v>357</v>
      </c>
      <c r="AL8" s="120"/>
      <c r="AM8" s="120"/>
      <c r="AN8" s="120"/>
      <c r="AO8" s="120"/>
      <c r="AP8" s="120"/>
      <c r="AQ8" s="120"/>
      <c r="AR8" s="120"/>
      <c r="AS8" s="120"/>
      <c r="AT8" s="145" t="s">
        <v>45</v>
      </c>
      <c r="AU8" s="146"/>
      <c r="AV8" s="146"/>
      <c r="AW8" s="146"/>
      <c r="AX8" s="146"/>
      <c r="AY8" s="147"/>
      <c r="AZ8" s="187">
        <f>I16+I17+I20+I22+I77</f>
        <v>9434391.599999998</v>
      </c>
      <c r="BA8" s="278"/>
      <c r="BB8" s="279">
        <f>BB9+BB14</f>
        <v>20267813.682899997</v>
      </c>
    </row>
    <row r="9" spans="1:54" ht="12.75" customHeight="1">
      <c r="A9" s="120" t="s">
        <v>198</v>
      </c>
      <c r="B9" s="120"/>
      <c r="C9" s="120"/>
      <c r="D9" s="120"/>
      <c r="E9" s="120"/>
      <c r="F9" s="120" t="s">
        <v>197</v>
      </c>
      <c r="G9" s="120"/>
      <c r="H9" s="120"/>
      <c r="I9" s="120"/>
      <c r="J9" s="120" t="s">
        <v>196</v>
      </c>
      <c r="K9" s="120"/>
      <c r="L9" s="120"/>
      <c r="M9" s="120"/>
      <c r="N9" s="120"/>
      <c r="O9" s="120" t="s">
        <v>197</v>
      </c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255" t="s">
        <v>383</v>
      </c>
      <c r="AU9" s="256"/>
      <c r="AV9" s="256"/>
      <c r="AW9" s="256"/>
      <c r="AX9" s="146"/>
      <c r="AY9" s="147"/>
      <c r="AZ9" s="280">
        <f>AZ11+AZ12</f>
        <v>5307128</v>
      </c>
      <c r="BA9" s="281">
        <f>(BB12+BB11)/AZ9</f>
        <v>3.8187444785202085</v>
      </c>
      <c r="BB9" s="279">
        <f>BB10+BB11+BB12+BB13</f>
        <v>20266565.746799998</v>
      </c>
    </row>
    <row r="10" spans="1:54" ht="12.75" customHeight="1">
      <c r="A10" s="143" t="s">
        <v>335</v>
      </c>
      <c r="B10" s="171" t="s">
        <v>199</v>
      </c>
      <c r="C10" s="143" t="s">
        <v>200</v>
      </c>
      <c r="D10" s="224" t="s">
        <v>286</v>
      </c>
      <c r="E10" s="225"/>
      <c r="F10" s="143" t="s">
        <v>201</v>
      </c>
      <c r="G10" s="143" t="s">
        <v>404</v>
      </c>
      <c r="H10" s="143" t="s">
        <v>202</v>
      </c>
      <c r="I10" s="143" t="s">
        <v>191</v>
      </c>
      <c r="J10" s="120" t="s">
        <v>198</v>
      </c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277" t="s">
        <v>583</v>
      </c>
      <c r="Z10" s="120"/>
      <c r="AA10" s="120"/>
      <c r="AB10" s="120"/>
      <c r="AC10" s="120"/>
      <c r="AD10" s="120"/>
      <c r="AE10" s="120"/>
      <c r="AF10" s="120"/>
      <c r="AG10" s="120"/>
      <c r="AH10" s="277" t="s">
        <v>583</v>
      </c>
      <c r="AI10" s="120"/>
      <c r="AJ10" s="120"/>
      <c r="AK10" s="120"/>
      <c r="AL10" s="120"/>
      <c r="AM10" s="120"/>
      <c r="AN10" s="120"/>
      <c r="AO10" s="120"/>
      <c r="AP10" s="120"/>
      <c r="AQ10" s="277" t="s">
        <v>583</v>
      </c>
      <c r="AR10" s="120"/>
      <c r="AS10" s="120"/>
      <c r="AT10" s="145" t="s">
        <v>179</v>
      </c>
      <c r="AU10" s="146"/>
      <c r="AV10" s="146"/>
      <c r="AW10" s="146"/>
      <c r="AX10" s="146"/>
      <c r="AY10" s="147"/>
      <c r="AZ10" s="282"/>
      <c r="BA10" s="283">
        <v>0</v>
      </c>
      <c r="BB10" s="284">
        <f>AZ10*BA10</f>
        <v>0</v>
      </c>
    </row>
    <row r="11" spans="1:54" ht="12.75" customHeight="1">
      <c r="A11" s="173"/>
      <c r="B11" s="173"/>
      <c r="C11" s="173"/>
      <c r="D11" s="143" t="s">
        <v>203</v>
      </c>
      <c r="E11" s="145" t="s">
        <v>204</v>
      </c>
      <c r="F11" s="173" t="s">
        <v>205</v>
      </c>
      <c r="G11" s="173" t="s">
        <v>190</v>
      </c>
      <c r="H11" s="173"/>
      <c r="I11" s="173" t="s">
        <v>206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45" t="s">
        <v>180</v>
      </c>
      <c r="AU11" s="146"/>
      <c r="AV11" s="146"/>
      <c r="AW11" s="146"/>
      <c r="AX11" s="146"/>
      <c r="AY11" s="147"/>
      <c r="AZ11" s="155">
        <f>I81+I73</f>
        <v>2497</v>
      </c>
      <c r="BA11" s="285">
        <v>5.52778</v>
      </c>
      <c r="BB11" s="284">
        <f>AZ11*BA11</f>
        <v>13802.86666</v>
      </c>
    </row>
    <row r="12" spans="1:54" ht="12.75" customHeight="1">
      <c r="A12" s="144"/>
      <c r="B12" s="144"/>
      <c r="C12" s="144"/>
      <c r="D12" s="144" t="s">
        <v>207</v>
      </c>
      <c r="E12" s="103" t="s">
        <v>207</v>
      </c>
      <c r="F12" s="144" t="s">
        <v>208</v>
      </c>
      <c r="G12" s="144"/>
      <c r="H12" s="144"/>
      <c r="I12" s="144"/>
      <c r="J12" s="143" t="s">
        <v>335</v>
      </c>
      <c r="K12" s="171" t="s">
        <v>199</v>
      </c>
      <c r="L12" s="143" t="s">
        <v>200</v>
      </c>
      <c r="M12" s="224" t="s">
        <v>464</v>
      </c>
      <c r="N12" s="225"/>
      <c r="O12" s="143" t="s">
        <v>201</v>
      </c>
      <c r="P12" s="143" t="s">
        <v>404</v>
      </c>
      <c r="Q12" s="143" t="s">
        <v>202</v>
      </c>
      <c r="R12" s="143" t="s">
        <v>191</v>
      </c>
      <c r="S12" s="143" t="s">
        <v>335</v>
      </c>
      <c r="T12" s="145" t="s">
        <v>336</v>
      </c>
      <c r="U12" s="146"/>
      <c r="V12" s="147"/>
      <c r="W12" s="102" t="s">
        <v>337</v>
      </c>
      <c r="X12" s="150"/>
      <c r="Y12" s="150"/>
      <c r="Z12" s="150"/>
      <c r="AA12" s="151"/>
      <c r="AB12" s="143" t="s">
        <v>335</v>
      </c>
      <c r="AC12" s="145" t="s">
        <v>336</v>
      </c>
      <c r="AD12" s="146"/>
      <c r="AE12" s="147"/>
      <c r="AF12" s="102" t="s">
        <v>337</v>
      </c>
      <c r="AG12" s="150"/>
      <c r="AH12" s="150"/>
      <c r="AI12" s="150"/>
      <c r="AJ12" s="151"/>
      <c r="AK12" s="143" t="s">
        <v>335</v>
      </c>
      <c r="AL12" s="145" t="s">
        <v>336</v>
      </c>
      <c r="AM12" s="146"/>
      <c r="AN12" s="147"/>
      <c r="AO12" s="102" t="s">
        <v>337</v>
      </c>
      <c r="AP12" s="150"/>
      <c r="AQ12" s="150"/>
      <c r="AR12" s="150"/>
      <c r="AS12" s="151"/>
      <c r="AT12" s="145" t="s">
        <v>181</v>
      </c>
      <c r="AU12" s="146"/>
      <c r="AV12" s="146"/>
      <c r="AW12" s="146"/>
      <c r="AX12" s="146"/>
      <c r="AY12" s="147"/>
      <c r="AZ12" s="280">
        <f>I75</f>
        <v>5304631</v>
      </c>
      <c r="BA12" s="286">
        <v>3.81794</v>
      </c>
      <c r="BB12" s="284">
        <f>AZ12*BA12</f>
        <v>20252762.88014</v>
      </c>
    </row>
    <row r="13" spans="1:54" ht="12.75" customHeight="1">
      <c r="A13" s="152">
        <v>1</v>
      </c>
      <c r="B13" s="152">
        <v>2</v>
      </c>
      <c r="C13" s="152">
        <v>3</v>
      </c>
      <c r="D13" s="152">
        <v>4</v>
      </c>
      <c r="E13" s="152">
        <v>5</v>
      </c>
      <c r="F13" s="152">
        <v>6</v>
      </c>
      <c r="G13" s="152">
        <v>7</v>
      </c>
      <c r="H13" s="152">
        <v>8</v>
      </c>
      <c r="I13" s="152">
        <v>9</v>
      </c>
      <c r="J13" s="173"/>
      <c r="K13" s="173"/>
      <c r="L13" s="173"/>
      <c r="M13" s="143" t="s">
        <v>203</v>
      </c>
      <c r="N13" s="145" t="s">
        <v>204</v>
      </c>
      <c r="O13" s="173" t="s">
        <v>205</v>
      </c>
      <c r="P13" s="173" t="s">
        <v>190</v>
      </c>
      <c r="Q13" s="173"/>
      <c r="R13" s="173" t="s">
        <v>206</v>
      </c>
      <c r="S13" s="144"/>
      <c r="T13" s="103"/>
      <c r="U13" s="148"/>
      <c r="V13" s="149"/>
      <c r="W13" s="152" t="s">
        <v>338</v>
      </c>
      <c r="X13" s="152" t="s">
        <v>339</v>
      </c>
      <c r="Y13" s="152" t="s">
        <v>340</v>
      </c>
      <c r="Z13" s="152" t="s">
        <v>341</v>
      </c>
      <c r="AA13" s="152" t="s">
        <v>342</v>
      </c>
      <c r="AB13" s="144"/>
      <c r="AC13" s="103"/>
      <c r="AD13" s="148"/>
      <c r="AE13" s="149"/>
      <c r="AF13" s="152" t="s">
        <v>338</v>
      </c>
      <c r="AG13" s="152" t="s">
        <v>339</v>
      </c>
      <c r="AH13" s="152" t="s">
        <v>340</v>
      </c>
      <c r="AI13" s="152" t="s">
        <v>341</v>
      </c>
      <c r="AJ13" s="152" t="s">
        <v>342</v>
      </c>
      <c r="AK13" s="144"/>
      <c r="AL13" s="103"/>
      <c r="AM13" s="148"/>
      <c r="AN13" s="149"/>
      <c r="AO13" s="152" t="s">
        <v>338</v>
      </c>
      <c r="AP13" s="152" t="s">
        <v>339</v>
      </c>
      <c r="AQ13" s="152" t="s">
        <v>340</v>
      </c>
      <c r="AR13" s="152" t="s">
        <v>341</v>
      </c>
      <c r="AS13" s="152" t="s">
        <v>342</v>
      </c>
      <c r="AT13" s="102" t="s">
        <v>173</v>
      </c>
      <c r="AU13" s="150"/>
      <c r="AV13" s="150"/>
      <c r="AW13" s="150"/>
      <c r="AX13" s="150"/>
      <c r="AY13" s="151"/>
      <c r="AZ13" s="280"/>
      <c r="BA13" s="257"/>
      <c r="BB13" s="284">
        <f>BA13*AZ13</f>
        <v>0</v>
      </c>
    </row>
    <row r="14" spans="1:54" ht="12.75" customHeight="1">
      <c r="A14" s="103"/>
      <c r="B14" s="148"/>
      <c r="C14" s="320" t="s">
        <v>209</v>
      </c>
      <c r="D14" s="320"/>
      <c r="E14" s="148"/>
      <c r="F14" s="148"/>
      <c r="G14" s="148"/>
      <c r="H14" s="148"/>
      <c r="I14" s="149"/>
      <c r="J14" s="144"/>
      <c r="K14" s="144"/>
      <c r="L14" s="144"/>
      <c r="M14" s="144" t="s">
        <v>207</v>
      </c>
      <c r="N14" s="103" t="s">
        <v>207</v>
      </c>
      <c r="O14" s="144" t="s">
        <v>208</v>
      </c>
      <c r="P14" s="144"/>
      <c r="Q14" s="144"/>
      <c r="R14" s="144"/>
      <c r="S14" s="152">
        <v>1</v>
      </c>
      <c r="T14" s="96" t="s">
        <v>159</v>
      </c>
      <c r="U14" s="96"/>
      <c r="V14" s="96"/>
      <c r="W14" s="155">
        <f aca="true" t="shared" si="0" ref="W14:W25">SUM(X14:AA14)</f>
        <v>3811933</v>
      </c>
      <c r="X14" s="155">
        <f>SUM(X15:X26)</f>
        <v>3503482</v>
      </c>
      <c r="Y14" s="155">
        <f>SUM(Y15:Y27)</f>
        <v>0</v>
      </c>
      <c r="Z14" s="155">
        <f>SUM(Z15:Z26)</f>
        <v>308451</v>
      </c>
      <c r="AA14" s="152">
        <f>SUM(AA15:AA27)</f>
        <v>0</v>
      </c>
      <c r="AB14" s="152"/>
      <c r="AC14" s="96" t="s">
        <v>136</v>
      </c>
      <c r="AD14" s="96"/>
      <c r="AE14" s="96"/>
      <c r="AF14" s="163">
        <f>SUM(AG14:AJ14)</f>
        <v>264163</v>
      </c>
      <c r="AG14" s="155">
        <f>SUM(AG16:AG22)</f>
        <v>260441</v>
      </c>
      <c r="AH14" s="155">
        <f>SUM(AH16:AH22)</f>
        <v>0</v>
      </c>
      <c r="AI14" s="155">
        <f>SUM(AI16:AI22)</f>
        <v>3722</v>
      </c>
      <c r="AJ14" s="152">
        <f>SUM(AJ16:AJ22)</f>
        <v>0</v>
      </c>
      <c r="AK14" s="171">
        <v>1</v>
      </c>
      <c r="AL14" s="143" t="s">
        <v>136</v>
      </c>
      <c r="AM14" s="143"/>
      <c r="AN14" s="143"/>
      <c r="AO14" s="175">
        <f>SUM(AP14:AS14)</f>
        <v>51454</v>
      </c>
      <c r="AP14" s="175">
        <f>SUM(AP16:AP17)</f>
        <v>0</v>
      </c>
      <c r="AQ14" s="175">
        <f>SUM(AQ16:AQ17)</f>
        <v>0</v>
      </c>
      <c r="AR14" s="175">
        <f>ROUND(SUM(AR16:AR20),0)</f>
        <v>51454</v>
      </c>
      <c r="AS14" s="171">
        <f>SUM(AS16:AS17)</f>
        <v>0</v>
      </c>
      <c r="AT14" s="144" t="s">
        <v>423</v>
      </c>
      <c r="AU14" s="144"/>
      <c r="AV14" s="144"/>
      <c r="AW14" s="144"/>
      <c r="AX14" s="144"/>
      <c r="AY14" s="144"/>
      <c r="AZ14" s="280">
        <f>SUM(AZ15:AZ21)</f>
        <v>345</v>
      </c>
      <c r="BA14" s="287"/>
      <c r="BB14" s="284">
        <f>SUM(BB15:BB21)</f>
        <v>1247.9361</v>
      </c>
    </row>
    <row r="15" spans="1:54" ht="12.75" customHeight="1">
      <c r="A15" s="103"/>
      <c r="B15" s="102" t="s">
        <v>520</v>
      </c>
      <c r="C15" s="320"/>
      <c r="D15" s="320"/>
      <c r="E15" s="148"/>
      <c r="F15" s="148"/>
      <c r="G15" s="148"/>
      <c r="H15" s="148"/>
      <c r="I15" s="149"/>
      <c r="J15" s="152">
        <v>1</v>
      </c>
      <c r="K15" s="152">
        <v>2</v>
      </c>
      <c r="L15" s="152">
        <v>3</v>
      </c>
      <c r="M15" s="152">
        <v>4</v>
      </c>
      <c r="N15" s="152">
        <v>5</v>
      </c>
      <c r="O15" s="152">
        <v>6</v>
      </c>
      <c r="P15" s="152">
        <v>7</v>
      </c>
      <c r="Q15" s="152">
        <v>8</v>
      </c>
      <c r="R15" s="152">
        <v>9</v>
      </c>
      <c r="S15" s="170" t="s">
        <v>145</v>
      </c>
      <c r="T15" s="145" t="s">
        <v>121</v>
      </c>
      <c r="U15" s="146"/>
      <c r="V15" s="146"/>
      <c r="W15" s="163">
        <f t="shared" si="0"/>
        <v>2453462</v>
      </c>
      <c r="X15" s="193">
        <f>ROUND(I20,0)</f>
        <v>2453462</v>
      </c>
      <c r="Y15" s="171">
        <v>0</v>
      </c>
      <c r="Z15" s="171">
        <v>0</v>
      </c>
      <c r="AA15" s="171">
        <v>0</v>
      </c>
      <c r="AB15" s="171">
        <v>1</v>
      </c>
      <c r="AC15" s="145" t="s">
        <v>543</v>
      </c>
      <c r="AD15" s="146"/>
      <c r="AE15" s="147"/>
      <c r="AF15" s="162"/>
      <c r="AG15" s="165"/>
      <c r="AH15" s="165"/>
      <c r="AI15" s="165"/>
      <c r="AJ15" s="303"/>
      <c r="AK15" s="319"/>
      <c r="AL15" s="145" t="s">
        <v>545</v>
      </c>
      <c r="AM15" s="146"/>
      <c r="AN15" s="147"/>
      <c r="AO15" s="175"/>
      <c r="AP15" s="171"/>
      <c r="AQ15" s="171"/>
      <c r="AR15" s="175"/>
      <c r="AS15" s="171"/>
      <c r="AT15" s="147" t="s">
        <v>174</v>
      </c>
      <c r="AU15" s="143"/>
      <c r="AV15" s="143"/>
      <c r="AW15" s="143"/>
      <c r="AX15" s="143"/>
      <c r="AY15" s="143"/>
      <c r="AZ15" s="155">
        <f>AS57-AZ16</f>
        <v>0</v>
      </c>
      <c r="BA15" s="288"/>
      <c r="BB15" s="284">
        <f>AZ15*BA15</f>
        <v>0</v>
      </c>
    </row>
    <row r="16" spans="1:54" ht="12.75" customHeight="1">
      <c r="A16" s="171">
        <v>1</v>
      </c>
      <c r="B16" s="143" t="s">
        <v>249</v>
      </c>
      <c r="C16" s="197">
        <v>804152757</v>
      </c>
      <c r="D16" s="230">
        <v>4403.25</v>
      </c>
      <c r="E16" s="230">
        <v>4499.2748</v>
      </c>
      <c r="F16" s="155">
        <v>36000</v>
      </c>
      <c r="G16" s="252">
        <f>E16-D16</f>
        <v>96.02480000000014</v>
      </c>
      <c r="H16" s="96"/>
      <c r="I16" s="155">
        <f>ROUND((F16*G16+H16),0)</f>
        <v>3456893</v>
      </c>
      <c r="J16" s="103"/>
      <c r="K16" s="148"/>
      <c r="L16" s="148" t="s">
        <v>209</v>
      </c>
      <c r="M16" s="148"/>
      <c r="N16" s="148"/>
      <c r="O16" s="148"/>
      <c r="P16" s="148"/>
      <c r="Q16" s="148"/>
      <c r="R16" s="149"/>
      <c r="S16" s="157" t="s">
        <v>146</v>
      </c>
      <c r="T16" s="159" t="s">
        <v>122</v>
      </c>
      <c r="U16" s="160"/>
      <c r="V16" s="160"/>
      <c r="W16" s="163">
        <f t="shared" si="0"/>
        <v>0</v>
      </c>
      <c r="X16" s="186">
        <f>ROUND(I27,0)</f>
        <v>0</v>
      </c>
      <c r="Y16" s="168">
        <v>0</v>
      </c>
      <c r="Z16" s="163">
        <v>0</v>
      </c>
      <c r="AA16" s="168">
        <v>0</v>
      </c>
      <c r="AB16" s="157" t="s">
        <v>145</v>
      </c>
      <c r="AC16" s="159" t="s">
        <v>343</v>
      </c>
      <c r="AD16" s="160"/>
      <c r="AE16" s="161"/>
      <c r="AF16" s="163">
        <f>AG16+AH16+AI16+AJ16</f>
        <v>260441</v>
      </c>
      <c r="AG16" s="163">
        <v>260441</v>
      </c>
      <c r="AH16" s="168">
        <v>0</v>
      </c>
      <c r="AI16" s="163">
        <v>0</v>
      </c>
      <c r="AJ16" s="192">
        <v>0</v>
      </c>
      <c r="AK16" s="157" t="s">
        <v>145</v>
      </c>
      <c r="AL16" s="159" t="s">
        <v>84</v>
      </c>
      <c r="AM16" s="160"/>
      <c r="AN16" s="161"/>
      <c r="AO16" s="163">
        <f>AP16+AQ16+AR16+AS16</f>
        <v>278</v>
      </c>
      <c r="AP16" s="168">
        <v>0</v>
      </c>
      <c r="AQ16" s="168">
        <v>0</v>
      </c>
      <c r="AR16" s="163">
        <v>278</v>
      </c>
      <c r="AS16" s="168">
        <v>0</v>
      </c>
      <c r="AT16" s="147" t="s">
        <v>174</v>
      </c>
      <c r="AU16" s="143"/>
      <c r="AV16" s="143"/>
      <c r="AW16" s="143"/>
      <c r="AX16" s="143"/>
      <c r="AY16" s="143"/>
      <c r="AZ16" s="155">
        <f>AS57/100*80</f>
        <v>0</v>
      </c>
      <c r="BA16" s="289"/>
      <c r="BB16" s="284">
        <f>AZ16*BA16</f>
        <v>0</v>
      </c>
    </row>
    <row r="17" spans="1:54" ht="12.75" customHeight="1">
      <c r="A17" s="144"/>
      <c r="B17" s="103" t="s">
        <v>250</v>
      </c>
      <c r="C17" s="213">
        <v>109054169</v>
      </c>
      <c r="D17" s="230">
        <v>6834.2314</v>
      </c>
      <c r="E17" s="230">
        <v>6930.141</v>
      </c>
      <c r="F17" s="155">
        <v>36000</v>
      </c>
      <c r="G17" s="252">
        <f>E17-D17</f>
        <v>95.90959999999995</v>
      </c>
      <c r="H17" s="96"/>
      <c r="I17" s="155">
        <f>F17*G17+H17</f>
        <v>3452745.599999998</v>
      </c>
      <c r="J17" s="96"/>
      <c r="K17" s="102" t="s">
        <v>210</v>
      </c>
      <c r="L17" s="150"/>
      <c r="M17" s="150"/>
      <c r="N17" s="150"/>
      <c r="O17" s="150"/>
      <c r="P17" s="150"/>
      <c r="Q17" s="150"/>
      <c r="R17" s="151"/>
      <c r="S17" s="157" t="s">
        <v>147</v>
      </c>
      <c r="T17" s="159" t="s">
        <v>123</v>
      </c>
      <c r="U17" s="160"/>
      <c r="V17" s="160"/>
      <c r="W17" s="163">
        <f t="shared" si="0"/>
        <v>278474</v>
      </c>
      <c r="X17" s="186">
        <f>ROUND(I29,0)</f>
        <v>278474</v>
      </c>
      <c r="Y17" s="168">
        <v>0</v>
      </c>
      <c r="Z17" s="163">
        <v>0</v>
      </c>
      <c r="AA17" s="168">
        <v>0</v>
      </c>
      <c r="AB17" s="157" t="s">
        <v>146</v>
      </c>
      <c r="AC17" s="159" t="s">
        <v>172</v>
      </c>
      <c r="AD17" s="160"/>
      <c r="AE17" s="161"/>
      <c r="AF17" s="163">
        <f>AG17+AH17+AI17+AJ17</f>
        <v>1336</v>
      </c>
      <c r="AG17" s="168">
        <v>0</v>
      </c>
      <c r="AH17" s="168">
        <v>0</v>
      </c>
      <c r="AI17" s="163">
        <v>1336</v>
      </c>
      <c r="AJ17" s="192">
        <v>0</v>
      </c>
      <c r="AK17" s="157" t="s">
        <v>146</v>
      </c>
      <c r="AL17" s="159" t="s">
        <v>277</v>
      </c>
      <c r="AM17" s="160"/>
      <c r="AN17" s="161"/>
      <c r="AO17" s="163">
        <f>AP17+AQ17+AR17+AS17</f>
        <v>6107</v>
      </c>
      <c r="AP17" s="168">
        <v>0</v>
      </c>
      <c r="AQ17" s="168">
        <v>0</v>
      </c>
      <c r="AR17" s="163">
        <v>6107</v>
      </c>
      <c r="AS17" s="168">
        <v>0</v>
      </c>
      <c r="AT17" s="146" t="s">
        <v>141</v>
      </c>
      <c r="AU17" s="146"/>
      <c r="AV17" s="146"/>
      <c r="AW17" s="146"/>
      <c r="AX17" s="146"/>
      <c r="AY17" s="147"/>
      <c r="AZ17" s="280">
        <f>R21</f>
        <v>180</v>
      </c>
      <c r="BA17" s="290">
        <v>2.84166</v>
      </c>
      <c r="BB17" s="284">
        <f>AZ17*BA17</f>
        <v>511.4988</v>
      </c>
    </row>
    <row r="18" spans="1:54" ht="12.75" customHeight="1">
      <c r="A18" s="102"/>
      <c r="B18" s="150"/>
      <c r="C18" s="148"/>
      <c r="D18" s="150"/>
      <c r="E18" s="150"/>
      <c r="F18" s="214" t="s">
        <v>212</v>
      </c>
      <c r="G18" s="150"/>
      <c r="H18" s="151"/>
      <c r="I18" s="155">
        <f>ROUND((I16+I17+I22),0)</f>
        <v>6978433</v>
      </c>
      <c r="J18" s="152">
        <v>1</v>
      </c>
      <c r="K18" s="102" t="s">
        <v>211</v>
      </c>
      <c r="L18" s="150"/>
      <c r="M18" s="150"/>
      <c r="N18" s="150"/>
      <c r="O18" s="150"/>
      <c r="P18" s="150"/>
      <c r="Q18" s="150"/>
      <c r="R18" s="151"/>
      <c r="S18" s="157" t="s">
        <v>148</v>
      </c>
      <c r="T18" s="159" t="s">
        <v>124</v>
      </c>
      <c r="U18" s="160"/>
      <c r="V18" s="160"/>
      <c r="W18" s="163">
        <f t="shared" si="0"/>
        <v>249676</v>
      </c>
      <c r="X18" s="186">
        <f>ROUND(I31,0)</f>
        <v>249676</v>
      </c>
      <c r="Y18" s="168">
        <v>0</v>
      </c>
      <c r="Z18" s="163">
        <v>0</v>
      </c>
      <c r="AA18" s="168">
        <v>0</v>
      </c>
      <c r="AB18" s="158" t="s">
        <v>147</v>
      </c>
      <c r="AC18" s="148" t="s">
        <v>156</v>
      </c>
      <c r="AD18" s="148"/>
      <c r="AE18" s="148"/>
      <c r="AF18" s="164">
        <f>AG18+AH18+AI18+AJ18</f>
        <v>2386</v>
      </c>
      <c r="AG18" s="169">
        <v>0</v>
      </c>
      <c r="AH18" s="169">
        <v>0</v>
      </c>
      <c r="AI18" s="164">
        <v>2386</v>
      </c>
      <c r="AJ18" s="318">
        <v>0</v>
      </c>
      <c r="AK18" s="157" t="s">
        <v>147</v>
      </c>
      <c r="AL18" s="159" t="s">
        <v>135</v>
      </c>
      <c r="AM18" s="160"/>
      <c r="AN18" s="161"/>
      <c r="AO18" s="163">
        <f>AP18+AQ18+AR18+AS18</f>
        <v>34509</v>
      </c>
      <c r="AP18" s="168">
        <v>0</v>
      </c>
      <c r="AQ18" s="168">
        <v>0</v>
      </c>
      <c r="AR18" s="163">
        <v>34509</v>
      </c>
      <c r="AS18" s="168">
        <v>0</v>
      </c>
      <c r="AT18" s="146" t="s">
        <v>142</v>
      </c>
      <c r="AU18" s="146"/>
      <c r="AV18" s="146"/>
      <c r="AW18" s="146"/>
      <c r="AX18" s="146"/>
      <c r="AY18" s="147"/>
      <c r="AZ18" s="280">
        <f>R22</f>
        <v>60</v>
      </c>
      <c r="BA18" s="290">
        <v>1.35</v>
      </c>
      <c r="BB18" s="284">
        <f>AZ18*BA18</f>
        <v>81</v>
      </c>
    </row>
    <row r="19" spans="1:54" ht="12.75" customHeight="1">
      <c r="A19" s="96" t="s">
        <v>213</v>
      </c>
      <c r="B19" s="102" t="s">
        <v>466</v>
      </c>
      <c r="C19" s="150"/>
      <c r="D19" s="150"/>
      <c r="E19" s="150"/>
      <c r="F19" s="150"/>
      <c r="G19" s="150"/>
      <c r="H19" s="150"/>
      <c r="I19" s="151"/>
      <c r="J19" s="171" t="s">
        <v>213</v>
      </c>
      <c r="K19" s="143" t="s">
        <v>290</v>
      </c>
      <c r="L19" s="171">
        <v>16654</v>
      </c>
      <c r="M19" s="234">
        <v>5189</v>
      </c>
      <c r="N19" s="234">
        <v>5294</v>
      </c>
      <c r="O19" s="171">
        <v>1</v>
      </c>
      <c r="P19" s="258">
        <f>N19-M19</f>
        <v>105</v>
      </c>
      <c r="Q19" s="259"/>
      <c r="R19" s="175">
        <f>O19*P19+Q19</f>
        <v>105</v>
      </c>
      <c r="S19" s="157" t="s">
        <v>153</v>
      </c>
      <c r="T19" s="159" t="s">
        <v>125</v>
      </c>
      <c r="U19" s="160"/>
      <c r="V19" s="160"/>
      <c r="W19" s="163">
        <f t="shared" si="0"/>
        <v>0</v>
      </c>
      <c r="X19" s="186">
        <f>ROUND(I33,0)</f>
        <v>0</v>
      </c>
      <c r="Y19" s="168">
        <v>0</v>
      </c>
      <c r="Z19" s="168">
        <v>0</v>
      </c>
      <c r="AA19" s="168">
        <v>0</v>
      </c>
      <c r="AB19" s="179"/>
      <c r="AC19" s="160"/>
      <c r="AD19" s="160"/>
      <c r="AE19" s="160"/>
      <c r="AF19" s="180"/>
      <c r="AG19" s="181"/>
      <c r="AH19" s="181"/>
      <c r="AI19" s="180"/>
      <c r="AJ19" s="181"/>
      <c r="AK19" s="157" t="s">
        <v>148</v>
      </c>
      <c r="AL19" s="159" t="s">
        <v>158</v>
      </c>
      <c r="AM19" s="160"/>
      <c r="AN19" s="161"/>
      <c r="AO19" s="163">
        <f>AP19+AQ19+AR19+AS19</f>
        <v>508</v>
      </c>
      <c r="AP19" s="163">
        <v>0</v>
      </c>
      <c r="AQ19" s="168">
        <v>0</v>
      </c>
      <c r="AR19" s="163">
        <v>508</v>
      </c>
      <c r="AS19" s="168">
        <v>0</v>
      </c>
      <c r="AT19" s="146" t="s">
        <v>182</v>
      </c>
      <c r="AU19" s="146"/>
      <c r="AV19" s="146"/>
      <c r="AW19" s="146"/>
      <c r="AX19" s="146"/>
      <c r="AY19" s="147"/>
      <c r="AZ19" s="291">
        <f>R19+R20</f>
        <v>105</v>
      </c>
      <c r="BA19" s="285">
        <v>6.24226</v>
      </c>
      <c r="BB19" s="284">
        <f>AZ19*BA19</f>
        <v>655.4372999999999</v>
      </c>
    </row>
    <row r="20" spans="1:54" ht="12.75" customHeight="1">
      <c r="A20" s="96" t="s">
        <v>215</v>
      </c>
      <c r="B20" s="96" t="s">
        <v>216</v>
      </c>
      <c r="C20" s="213">
        <v>109053225</v>
      </c>
      <c r="D20" s="230">
        <v>18452.8306</v>
      </c>
      <c r="E20" s="230">
        <v>18569.6621</v>
      </c>
      <c r="F20" s="155">
        <v>21000</v>
      </c>
      <c r="G20" s="252">
        <f>E20-D20</f>
        <v>116.83150000000023</v>
      </c>
      <c r="H20" s="96"/>
      <c r="I20" s="155">
        <f>ROUND((F20*G20+H20),0)</f>
        <v>2453462</v>
      </c>
      <c r="J20" s="144"/>
      <c r="K20" s="144" t="s">
        <v>291</v>
      </c>
      <c r="L20" s="144"/>
      <c r="M20" s="144"/>
      <c r="N20" s="144"/>
      <c r="O20" s="144"/>
      <c r="P20" s="185"/>
      <c r="Q20" s="260"/>
      <c r="R20" s="276"/>
      <c r="S20" s="157" t="s">
        <v>157</v>
      </c>
      <c r="T20" s="159" t="s">
        <v>126</v>
      </c>
      <c r="U20" s="160"/>
      <c r="V20" s="160"/>
      <c r="W20" s="163">
        <f t="shared" si="0"/>
        <v>208455</v>
      </c>
      <c r="X20" s="186">
        <f>ROUND(I35,0)</f>
        <v>208455</v>
      </c>
      <c r="Y20" s="168">
        <v>0</v>
      </c>
      <c r="Z20" s="163">
        <v>0</v>
      </c>
      <c r="AA20" s="168">
        <v>0</v>
      </c>
      <c r="AB20" s="179"/>
      <c r="AC20" s="160"/>
      <c r="AD20" s="160"/>
      <c r="AE20" s="160"/>
      <c r="AF20" s="180"/>
      <c r="AG20" s="180"/>
      <c r="AH20" s="181"/>
      <c r="AI20" s="180"/>
      <c r="AJ20" s="181"/>
      <c r="AK20" s="158" t="s">
        <v>153</v>
      </c>
      <c r="AL20" s="103" t="s">
        <v>544</v>
      </c>
      <c r="AM20" s="148"/>
      <c r="AN20" s="149"/>
      <c r="AO20" s="164">
        <f>AP20+AQ20+AR20+AS20</f>
        <v>10052</v>
      </c>
      <c r="AP20" s="164"/>
      <c r="AQ20" s="169"/>
      <c r="AR20" s="164">
        <v>10052</v>
      </c>
      <c r="AS20" s="169"/>
      <c r="AT20" s="146" t="s">
        <v>416</v>
      </c>
      <c r="AU20" s="146"/>
      <c r="AV20" s="146"/>
      <c r="AW20" s="146"/>
      <c r="AX20" s="146"/>
      <c r="AY20" s="147"/>
      <c r="AZ20" s="280"/>
      <c r="BA20" s="290"/>
      <c r="BB20" s="279"/>
    </row>
    <row r="21" spans="1:54" ht="12.75" customHeight="1">
      <c r="A21" s="96" t="s">
        <v>521</v>
      </c>
      <c r="B21" s="150" t="s">
        <v>524</v>
      </c>
      <c r="C21" s="148"/>
      <c r="D21" s="150"/>
      <c r="E21" s="150"/>
      <c r="F21" s="214"/>
      <c r="G21" s="150"/>
      <c r="H21" s="151"/>
      <c r="I21" s="155"/>
      <c r="J21" s="143" t="s">
        <v>219</v>
      </c>
      <c r="K21" s="143" t="s">
        <v>293</v>
      </c>
      <c r="L21" s="377">
        <v>122848480</v>
      </c>
      <c r="M21" s="376">
        <v>448</v>
      </c>
      <c r="N21" s="376">
        <v>457</v>
      </c>
      <c r="O21" s="152">
        <v>20</v>
      </c>
      <c r="P21" s="375">
        <f>N21-M21</f>
        <v>9</v>
      </c>
      <c r="Q21" s="261"/>
      <c r="R21" s="155">
        <f>O21*P21+Q21</f>
        <v>180</v>
      </c>
      <c r="S21" s="157" t="s">
        <v>161</v>
      </c>
      <c r="T21" s="159" t="s">
        <v>127</v>
      </c>
      <c r="U21" s="160"/>
      <c r="V21" s="160"/>
      <c r="W21" s="163">
        <f t="shared" si="0"/>
        <v>179631</v>
      </c>
      <c r="X21" s="186">
        <f>ROUND(I37,0)</f>
        <v>179631</v>
      </c>
      <c r="Y21" s="168">
        <v>0</v>
      </c>
      <c r="Z21" s="163">
        <v>0</v>
      </c>
      <c r="AA21" s="168">
        <v>0</v>
      </c>
      <c r="AB21" s="179"/>
      <c r="AC21" s="160"/>
      <c r="AD21" s="160"/>
      <c r="AE21" s="160"/>
      <c r="AF21" s="180"/>
      <c r="AG21" s="180"/>
      <c r="AH21" s="181"/>
      <c r="AI21" s="180"/>
      <c r="AJ21" s="181"/>
      <c r="AK21" s="179"/>
      <c r="AL21" s="160"/>
      <c r="AM21" s="160"/>
      <c r="AN21" s="160"/>
      <c r="AO21" s="180"/>
      <c r="AP21" s="181"/>
      <c r="AQ21" s="182"/>
      <c r="AR21" s="180"/>
      <c r="AS21" s="181"/>
      <c r="AT21" s="102"/>
      <c r="AU21" s="146"/>
      <c r="AV21" s="146"/>
      <c r="AW21" s="146"/>
      <c r="AX21" s="146"/>
      <c r="AY21" s="147"/>
      <c r="AZ21" s="280"/>
      <c r="BA21" s="290"/>
      <c r="BB21" s="279"/>
    </row>
    <row r="22" spans="1:54" ht="12.75" customHeight="1">
      <c r="A22" s="96" t="s">
        <v>522</v>
      </c>
      <c r="B22" s="102" t="s">
        <v>525</v>
      </c>
      <c r="C22" s="150"/>
      <c r="D22" s="150"/>
      <c r="E22" s="150"/>
      <c r="F22" s="150"/>
      <c r="G22" s="150"/>
      <c r="H22" s="151"/>
      <c r="I22" s="280">
        <v>68794</v>
      </c>
      <c r="J22" s="144"/>
      <c r="K22" s="144" t="s">
        <v>292</v>
      </c>
      <c r="L22" s="377">
        <v>122848480</v>
      </c>
      <c r="M22" s="376">
        <v>123</v>
      </c>
      <c r="N22" s="376">
        <v>126</v>
      </c>
      <c r="O22" s="152">
        <v>20</v>
      </c>
      <c r="P22" s="375">
        <f>N22-M22</f>
        <v>3</v>
      </c>
      <c r="Q22" s="261"/>
      <c r="R22" s="155">
        <f>O22*P22+Q22</f>
        <v>60</v>
      </c>
      <c r="S22" s="157" t="s">
        <v>162</v>
      </c>
      <c r="T22" s="159" t="s">
        <v>128</v>
      </c>
      <c r="U22" s="160"/>
      <c r="V22" s="160"/>
      <c r="W22" s="163">
        <f t="shared" si="0"/>
        <v>133784</v>
      </c>
      <c r="X22" s="186">
        <f>ROUND(I39,0)</f>
        <v>133784</v>
      </c>
      <c r="Y22" s="168">
        <v>0</v>
      </c>
      <c r="Z22" s="168">
        <v>0</v>
      </c>
      <c r="AA22" s="168">
        <v>0</v>
      </c>
      <c r="AB22" s="179"/>
      <c r="AC22" s="160"/>
      <c r="AD22" s="160"/>
      <c r="AE22" s="160"/>
      <c r="AF22" s="180"/>
      <c r="AG22" s="181"/>
      <c r="AH22" s="181"/>
      <c r="AI22" s="180"/>
      <c r="AJ22" s="181"/>
      <c r="AK22" s="179"/>
      <c r="AL22" s="160"/>
      <c r="AM22" s="160"/>
      <c r="AN22" s="160"/>
      <c r="AO22" s="180"/>
      <c r="AP22" s="181"/>
      <c r="AQ22" s="182"/>
      <c r="AR22" s="180"/>
      <c r="AS22" s="181"/>
      <c r="AT22" s="255" t="s">
        <v>22</v>
      </c>
      <c r="AU22" s="256"/>
      <c r="AV22" s="256"/>
      <c r="AW22" s="256"/>
      <c r="AX22" s="146"/>
      <c r="AY22" s="147"/>
      <c r="AZ22" s="280"/>
      <c r="BA22" s="293"/>
      <c r="BB22" s="294"/>
    </row>
    <row r="23" spans="1:54" ht="12.75" customHeight="1">
      <c r="A23" s="102"/>
      <c r="B23" s="102"/>
      <c r="C23" s="371"/>
      <c r="D23" s="372"/>
      <c r="E23" s="372"/>
      <c r="F23" s="373"/>
      <c r="G23" s="374"/>
      <c r="H23" s="151"/>
      <c r="I23" s="280"/>
      <c r="J23" s="102"/>
      <c r="K23" s="245"/>
      <c r="L23" s="245"/>
      <c r="M23" s="245"/>
      <c r="N23" s="245"/>
      <c r="O23" s="245"/>
      <c r="P23" s="246" t="s">
        <v>274</v>
      </c>
      <c r="Q23" s="247"/>
      <c r="R23" s="155">
        <f>R19+R21+R22+R20</f>
        <v>345</v>
      </c>
      <c r="S23" s="157" t="s">
        <v>163</v>
      </c>
      <c r="T23" s="159" t="s">
        <v>129</v>
      </c>
      <c r="U23" s="160"/>
      <c r="V23" s="160"/>
      <c r="W23" s="163">
        <f t="shared" si="0"/>
        <v>250740</v>
      </c>
      <c r="X23" s="186">
        <v>0</v>
      </c>
      <c r="Y23" s="168">
        <v>0</v>
      </c>
      <c r="Z23" s="163">
        <f>I26+I25</f>
        <v>250740</v>
      </c>
      <c r="AA23" s="168">
        <v>0</v>
      </c>
      <c r="AB23" s="179"/>
      <c r="AC23" s="160"/>
      <c r="AD23" s="160"/>
      <c r="AE23" s="160"/>
      <c r="AF23" s="180"/>
      <c r="AG23" s="181"/>
      <c r="AH23" s="182"/>
      <c r="AI23" s="180"/>
      <c r="AJ23" s="181"/>
      <c r="AK23" s="179"/>
      <c r="AL23" s="160"/>
      <c r="AM23" s="160"/>
      <c r="AN23" s="160"/>
      <c r="AO23" s="180"/>
      <c r="AP23" s="181"/>
      <c r="AQ23" s="182"/>
      <c r="AR23" s="180"/>
      <c r="AS23" s="181"/>
      <c r="AT23" s="145" t="s">
        <v>23</v>
      </c>
      <c r="AU23" s="146"/>
      <c r="AV23" s="146"/>
      <c r="AW23" s="146"/>
      <c r="AX23" s="146"/>
      <c r="AY23" s="147"/>
      <c r="AZ23" s="280"/>
      <c r="BA23" s="293"/>
      <c r="BB23" s="279"/>
    </row>
    <row r="24" spans="1:54" ht="12.75" customHeight="1">
      <c r="A24" s="96" t="s">
        <v>219</v>
      </c>
      <c r="B24" s="103" t="s">
        <v>220</v>
      </c>
      <c r="C24" s="148"/>
      <c r="D24" s="148"/>
      <c r="E24" s="148"/>
      <c r="F24" s="148"/>
      <c r="G24" s="148"/>
      <c r="H24" s="148"/>
      <c r="I24" s="151"/>
      <c r="J24" s="145"/>
      <c r="K24" s="146"/>
      <c r="L24" s="146"/>
      <c r="M24" s="146"/>
      <c r="N24" s="146"/>
      <c r="O24" s="146"/>
      <c r="P24" s="248"/>
      <c r="Q24" s="249"/>
      <c r="R24" s="250"/>
      <c r="S24" s="157" t="s">
        <v>164</v>
      </c>
      <c r="T24" s="160" t="s">
        <v>130</v>
      </c>
      <c r="U24" s="160"/>
      <c r="V24" s="160"/>
      <c r="W24" s="163">
        <f t="shared" si="0"/>
        <v>27623</v>
      </c>
      <c r="X24" s="186">
        <v>0</v>
      </c>
      <c r="Y24" s="168">
        <v>0</v>
      </c>
      <c r="Z24" s="163">
        <f>I41</f>
        <v>27623</v>
      </c>
      <c r="AA24" s="168">
        <v>0</v>
      </c>
      <c r="AB24" s="153"/>
      <c r="AC24" s="120" t="s">
        <v>189</v>
      </c>
      <c r="AD24" s="120"/>
      <c r="AE24" s="120"/>
      <c r="AF24" s="154"/>
      <c r="AG24" s="154"/>
      <c r="AH24" s="154"/>
      <c r="AI24" s="154"/>
      <c r="AJ24" s="154"/>
      <c r="AK24" s="153"/>
      <c r="AL24" s="120" t="s">
        <v>278</v>
      </c>
      <c r="AM24" s="120"/>
      <c r="AN24" s="120"/>
      <c r="AO24" s="154"/>
      <c r="AP24" s="154"/>
      <c r="AQ24" s="154"/>
      <c r="AR24" s="154"/>
      <c r="AS24" s="154"/>
      <c r="AT24" s="262" t="s">
        <v>139</v>
      </c>
      <c r="AU24" s="245"/>
      <c r="AV24" s="245"/>
      <c r="AW24" s="245"/>
      <c r="AX24" s="245"/>
      <c r="AY24" s="263"/>
      <c r="AZ24" s="295"/>
      <c r="BA24" s="287"/>
      <c r="BB24" s="284"/>
    </row>
    <row r="25" spans="1:54" ht="12.75" customHeight="1">
      <c r="A25" s="143" t="s">
        <v>221</v>
      </c>
      <c r="B25" s="143" t="s">
        <v>224</v>
      </c>
      <c r="C25" s="197"/>
      <c r="D25" s="323"/>
      <c r="E25" s="323"/>
      <c r="F25" s="164"/>
      <c r="G25" s="324"/>
      <c r="H25" s="164"/>
      <c r="I25" s="164"/>
      <c r="J25" s="159" t="s">
        <v>275</v>
      </c>
      <c r="K25" s="160"/>
      <c r="L25" s="160"/>
      <c r="M25" s="160"/>
      <c r="N25" s="160"/>
      <c r="O25" s="160"/>
      <c r="P25" s="190"/>
      <c r="Q25" s="238"/>
      <c r="R25" s="251"/>
      <c r="S25" s="157" t="s">
        <v>165</v>
      </c>
      <c r="T25" s="160" t="s">
        <v>131</v>
      </c>
      <c r="U25" s="160"/>
      <c r="V25" s="160"/>
      <c r="W25" s="163">
        <f t="shared" si="0"/>
        <v>23479</v>
      </c>
      <c r="X25" s="186">
        <v>0</v>
      </c>
      <c r="Y25" s="168">
        <v>0</v>
      </c>
      <c r="Z25" s="163">
        <f>I43</f>
        <v>23479</v>
      </c>
      <c r="AA25" s="168">
        <v>0</v>
      </c>
      <c r="AB25" s="153"/>
      <c r="AC25" s="120" t="s">
        <v>533</v>
      </c>
      <c r="AD25" s="120"/>
      <c r="AE25" s="120"/>
      <c r="AF25" s="120"/>
      <c r="AG25" s="120"/>
      <c r="AH25" s="120"/>
      <c r="AI25" s="120"/>
      <c r="AJ25" s="120"/>
      <c r="AK25" s="153"/>
      <c r="AL25" s="120" t="s">
        <v>533</v>
      </c>
      <c r="AM25" s="120"/>
      <c r="AN25" s="120"/>
      <c r="AO25" s="120"/>
      <c r="AP25" s="120"/>
      <c r="AQ25" s="120"/>
      <c r="AR25" s="120"/>
      <c r="AS25" s="120"/>
      <c r="AT25" s="103" t="s">
        <v>183</v>
      </c>
      <c r="AU25" s="148"/>
      <c r="AV25" s="148"/>
      <c r="AW25" s="148"/>
      <c r="AX25" s="148"/>
      <c r="AY25" s="149"/>
      <c r="AZ25" s="296">
        <v>7.91</v>
      </c>
      <c r="BA25" s="297">
        <v>35268</v>
      </c>
      <c r="BB25" s="284">
        <f>AZ25*BA25</f>
        <v>278969.88</v>
      </c>
    </row>
    <row r="26" spans="1:54" ht="12.75" customHeight="1">
      <c r="A26" s="144"/>
      <c r="B26" s="144" t="s">
        <v>222</v>
      </c>
      <c r="C26" s="198">
        <v>109056121</v>
      </c>
      <c r="D26" s="323">
        <v>21032.467</v>
      </c>
      <c r="E26" s="323">
        <v>21084.7044</v>
      </c>
      <c r="F26" s="164">
        <v>4800</v>
      </c>
      <c r="G26" s="324">
        <f aca="true" t="shared" si="1" ref="G26:G43">E26-D26</f>
        <v>52.23739999999816</v>
      </c>
      <c r="H26" s="164"/>
      <c r="I26" s="164">
        <f>ROUND(F26*G26+H26,0)</f>
        <v>250740</v>
      </c>
      <c r="J26" s="222" t="s">
        <v>548</v>
      </c>
      <c r="K26" s="223"/>
      <c r="L26" s="223"/>
      <c r="M26" s="191"/>
      <c r="N26" s="148"/>
      <c r="O26" s="148"/>
      <c r="P26" s="148"/>
      <c r="Q26" s="148"/>
      <c r="R26" s="209"/>
      <c r="S26" s="158" t="s">
        <v>166</v>
      </c>
      <c r="T26" s="148" t="s">
        <v>132</v>
      </c>
      <c r="U26" s="148"/>
      <c r="V26" s="148"/>
      <c r="W26" s="164">
        <f>SUM(X26:AA26)</f>
        <v>6609</v>
      </c>
      <c r="X26" s="187">
        <v>0</v>
      </c>
      <c r="Y26" s="169">
        <v>0</v>
      </c>
      <c r="Z26" s="164">
        <f>I45+I46</f>
        <v>6609</v>
      </c>
      <c r="AA26" s="169">
        <v>0</v>
      </c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02" t="s">
        <v>184</v>
      </c>
      <c r="AU26" s="150"/>
      <c r="AV26" s="150"/>
      <c r="AW26" s="150"/>
      <c r="AX26" s="160"/>
      <c r="AY26" s="161"/>
      <c r="AZ26" s="296">
        <f>(X14+AG14+AP14)/1000</f>
        <v>3763.923</v>
      </c>
      <c r="BA26" s="279">
        <v>17</v>
      </c>
      <c r="BB26" s="284">
        <f>AZ26*BA26</f>
        <v>63986.691</v>
      </c>
    </row>
    <row r="27" spans="1:54" ht="12.75" customHeight="1">
      <c r="A27" s="143" t="s">
        <v>223</v>
      </c>
      <c r="B27" s="143" t="s">
        <v>235</v>
      </c>
      <c r="C27" s="197">
        <v>623125232</v>
      </c>
      <c r="D27" s="325">
        <v>9240.7087</v>
      </c>
      <c r="E27" s="325">
        <v>9240.7087</v>
      </c>
      <c r="F27" s="175">
        <v>1800</v>
      </c>
      <c r="G27" s="326">
        <f t="shared" si="1"/>
        <v>0</v>
      </c>
      <c r="H27" s="171"/>
      <c r="I27" s="175">
        <f>ROUND(G27*F27,0)</f>
        <v>0</v>
      </c>
      <c r="J27" s="120"/>
      <c r="K27" s="160"/>
      <c r="L27" s="160"/>
      <c r="M27" s="160"/>
      <c r="N27" s="160"/>
      <c r="O27" s="160"/>
      <c r="P27" s="190"/>
      <c r="Q27" s="238"/>
      <c r="R27" s="237"/>
      <c r="S27" s="179"/>
      <c r="T27" s="160"/>
      <c r="U27" s="160"/>
      <c r="V27" s="160"/>
      <c r="W27" s="180"/>
      <c r="X27" s="180"/>
      <c r="Y27" s="181"/>
      <c r="Z27" s="180"/>
      <c r="AA27" s="181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03" t="s">
        <v>185</v>
      </c>
      <c r="AU27" s="148"/>
      <c r="AV27" s="148"/>
      <c r="AW27" s="148"/>
      <c r="AX27" s="146"/>
      <c r="AY27" s="147"/>
      <c r="AZ27" s="296">
        <v>2.26</v>
      </c>
      <c r="BA27" s="279">
        <v>35268</v>
      </c>
      <c r="BB27" s="279">
        <f>AZ27*BA27</f>
        <v>79705.68</v>
      </c>
    </row>
    <row r="28" spans="1:54" ht="12.75" customHeight="1">
      <c r="A28" s="144"/>
      <c r="B28" s="144" t="s">
        <v>222</v>
      </c>
      <c r="C28" s="169"/>
      <c r="D28" s="228"/>
      <c r="E28" s="228"/>
      <c r="F28" s="164"/>
      <c r="G28" s="227"/>
      <c r="H28" s="169"/>
      <c r="I28" s="164"/>
      <c r="J28" s="160" t="s">
        <v>279</v>
      </c>
      <c r="K28" s="160"/>
      <c r="L28" s="264"/>
      <c r="M28" s="181"/>
      <c r="N28" s="265"/>
      <c r="O28" s="265"/>
      <c r="P28" s="188"/>
      <c r="Q28" s="160"/>
      <c r="R28" s="190"/>
      <c r="S28" s="120"/>
      <c r="T28" s="120"/>
      <c r="U28" s="120"/>
      <c r="V28" s="120"/>
      <c r="W28" s="120"/>
      <c r="X28" s="120"/>
      <c r="Y28" s="120"/>
      <c r="Z28" s="120"/>
      <c r="AA28" s="120"/>
      <c r="AB28" s="120" t="s">
        <v>447</v>
      </c>
      <c r="AC28" s="120"/>
      <c r="AD28" s="120"/>
      <c r="AE28" s="120"/>
      <c r="AF28" s="120"/>
      <c r="AG28" s="120" t="s">
        <v>450</v>
      </c>
      <c r="AH28" s="120"/>
      <c r="AI28" s="120" t="s">
        <v>451</v>
      </c>
      <c r="AJ28" s="120"/>
      <c r="AK28" s="120" t="s">
        <v>447</v>
      </c>
      <c r="AL28" s="120"/>
      <c r="AM28" s="120"/>
      <c r="AN28" s="120"/>
      <c r="AO28" s="120"/>
      <c r="AP28" s="120" t="s">
        <v>151</v>
      </c>
      <c r="AQ28" s="120"/>
      <c r="AR28" s="120" t="s">
        <v>152</v>
      </c>
      <c r="AS28" s="120"/>
      <c r="AT28" s="159" t="s">
        <v>186</v>
      </c>
      <c r="AU28" s="160"/>
      <c r="AV28" s="160"/>
      <c r="AW28" s="160"/>
      <c r="AX28" s="146"/>
      <c r="AY28" s="147"/>
      <c r="AZ28" s="296">
        <f>(Z14+AI14+AR14)/1000</f>
        <v>363.627</v>
      </c>
      <c r="BA28" s="279">
        <v>17</v>
      </c>
      <c r="BB28" s="284">
        <f>AZ28*BA28</f>
        <v>6181.659000000001</v>
      </c>
    </row>
    <row r="29" spans="1:54" ht="12.75" customHeight="1">
      <c r="A29" s="143" t="s">
        <v>225</v>
      </c>
      <c r="B29" s="143" t="s">
        <v>236</v>
      </c>
      <c r="C29" s="197">
        <v>623125667</v>
      </c>
      <c r="D29" s="325">
        <v>10042.2034</v>
      </c>
      <c r="E29" s="325">
        <v>10196.9113</v>
      </c>
      <c r="F29" s="175">
        <v>1800</v>
      </c>
      <c r="G29" s="326">
        <f t="shared" si="1"/>
        <v>154.70789999999943</v>
      </c>
      <c r="H29" s="171"/>
      <c r="I29" s="175">
        <f>ROUND(G29*F29,0)</f>
        <v>278474</v>
      </c>
      <c r="J29" s="160"/>
      <c r="K29" s="160"/>
      <c r="L29" s="181"/>
      <c r="M29" s="181"/>
      <c r="N29" s="188"/>
      <c r="O29" s="188"/>
      <c r="P29" s="188"/>
      <c r="Q29" s="160"/>
      <c r="R29" s="190"/>
      <c r="S29" s="120"/>
      <c r="T29" s="120"/>
      <c r="U29" s="120"/>
      <c r="V29" s="120"/>
      <c r="W29" s="120"/>
      <c r="X29" s="120"/>
      <c r="Y29" s="120"/>
      <c r="Z29" s="120"/>
      <c r="AA29" s="120"/>
      <c r="AB29" s="120" t="s">
        <v>527</v>
      </c>
      <c r="AC29" s="120"/>
      <c r="AD29" s="120"/>
      <c r="AE29" s="120"/>
      <c r="AF29" s="120"/>
      <c r="AG29" s="120" t="s">
        <v>150</v>
      </c>
      <c r="AH29" s="120"/>
      <c r="AI29" s="120"/>
      <c r="AJ29" s="120"/>
      <c r="AK29" s="120" t="s">
        <v>527</v>
      </c>
      <c r="AL29" s="120"/>
      <c r="AM29" s="120"/>
      <c r="AN29" s="120"/>
      <c r="AO29" s="120"/>
      <c r="AP29" s="120" t="s">
        <v>150</v>
      </c>
      <c r="AQ29" s="120"/>
      <c r="AR29" s="120"/>
      <c r="AS29" s="120"/>
      <c r="AT29" s="145"/>
      <c r="AU29" s="146"/>
      <c r="AV29" s="146"/>
      <c r="AW29" s="146"/>
      <c r="AX29" s="146"/>
      <c r="AY29" s="147"/>
      <c r="AZ29" s="280"/>
      <c r="BA29" s="287"/>
      <c r="BB29" s="284"/>
    </row>
    <row r="30" spans="1:54" ht="12.75" customHeight="1">
      <c r="A30" s="144"/>
      <c r="B30" s="144" t="s">
        <v>222</v>
      </c>
      <c r="C30" s="169"/>
      <c r="D30" s="228"/>
      <c r="E30" s="228"/>
      <c r="F30" s="164"/>
      <c r="G30" s="227"/>
      <c r="H30" s="169"/>
      <c r="I30" s="164"/>
      <c r="J30" s="160"/>
      <c r="K30" s="160"/>
      <c r="L30" s="181"/>
      <c r="M30" s="181"/>
      <c r="N30" s="188"/>
      <c r="O30" s="188"/>
      <c r="P30" s="188"/>
      <c r="Q30" s="160"/>
      <c r="R30" s="19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45"/>
      <c r="AU30" s="146"/>
      <c r="AV30" s="146"/>
      <c r="AW30" s="146"/>
      <c r="AX30" s="146"/>
      <c r="AY30" s="147"/>
      <c r="AZ30" s="280"/>
      <c r="BA30" s="287"/>
      <c r="BB30" s="284"/>
    </row>
    <row r="31" spans="1:54" ht="12.75" customHeight="1">
      <c r="A31" s="143" t="s">
        <v>226</v>
      </c>
      <c r="B31" s="143" t="s">
        <v>237</v>
      </c>
      <c r="C31" s="197">
        <v>623126370</v>
      </c>
      <c r="D31" s="325">
        <v>2682.4629</v>
      </c>
      <c r="E31" s="325">
        <v>2734.4787</v>
      </c>
      <c r="F31" s="175">
        <v>4800</v>
      </c>
      <c r="G31" s="326">
        <f t="shared" si="1"/>
        <v>52.01580000000013</v>
      </c>
      <c r="H31" s="171"/>
      <c r="I31" s="175">
        <f>ROUND(G31*F31,0)</f>
        <v>249676</v>
      </c>
      <c r="J31" s="160"/>
      <c r="K31" s="160"/>
      <c r="L31" s="264"/>
      <c r="M31" s="181"/>
      <c r="N31" s="265" t="s">
        <v>280</v>
      </c>
      <c r="O31" s="265"/>
      <c r="P31" s="188"/>
      <c r="Q31" s="160"/>
      <c r="R31" s="190"/>
      <c r="S31" s="120" t="s">
        <v>447</v>
      </c>
      <c r="T31" s="120"/>
      <c r="U31" s="120"/>
      <c r="V31" s="120"/>
      <c r="W31" s="120"/>
      <c r="X31" s="120" t="s">
        <v>450</v>
      </c>
      <c r="Y31" s="120"/>
      <c r="Z31" s="120" t="s">
        <v>451</v>
      </c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45"/>
      <c r="AU31" s="146"/>
      <c r="AV31" s="146"/>
      <c r="AW31" s="146"/>
      <c r="AX31" s="146"/>
      <c r="AY31" s="147"/>
      <c r="AZ31" s="280"/>
      <c r="BA31" s="287"/>
      <c r="BB31" s="284"/>
    </row>
    <row r="32" spans="1:54" ht="12.75" customHeight="1">
      <c r="A32" s="144"/>
      <c r="B32" s="144" t="s">
        <v>222</v>
      </c>
      <c r="C32" s="169"/>
      <c r="D32" s="228"/>
      <c r="E32" s="228"/>
      <c r="F32" s="164"/>
      <c r="G32" s="227"/>
      <c r="H32" s="169"/>
      <c r="I32" s="164"/>
      <c r="J32" s="160"/>
      <c r="K32" s="160"/>
      <c r="L32" s="181"/>
      <c r="M32" s="181"/>
      <c r="N32" s="265" t="s">
        <v>529</v>
      </c>
      <c r="O32" s="265"/>
      <c r="P32" s="188"/>
      <c r="Q32" s="160"/>
      <c r="R32" s="190"/>
      <c r="S32" s="120" t="s">
        <v>527</v>
      </c>
      <c r="T32" s="120"/>
      <c r="U32" s="120"/>
      <c r="V32" s="120"/>
      <c r="W32" s="120"/>
      <c r="X32" s="120" t="s">
        <v>150</v>
      </c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45" t="s">
        <v>432</v>
      </c>
      <c r="AU32" s="146"/>
      <c r="AV32" s="146"/>
      <c r="AW32" s="146"/>
      <c r="AX32" s="146"/>
      <c r="AY32" s="147"/>
      <c r="AZ32" s="280"/>
      <c r="BA32" s="298"/>
      <c r="BB32" s="279"/>
    </row>
    <row r="33" spans="1:54" ht="12.75" customHeight="1">
      <c r="A33" s="143" t="s">
        <v>227</v>
      </c>
      <c r="B33" s="143" t="s">
        <v>238</v>
      </c>
      <c r="C33" s="197">
        <v>623125137</v>
      </c>
      <c r="D33" s="325">
        <v>2202.7089</v>
      </c>
      <c r="E33" s="325">
        <v>2202.7089</v>
      </c>
      <c r="F33" s="175">
        <v>4800</v>
      </c>
      <c r="G33" s="326">
        <f t="shared" si="1"/>
        <v>0</v>
      </c>
      <c r="H33" s="171"/>
      <c r="I33" s="175">
        <f>ROUND(G33*F33,0)</f>
        <v>0</v>
      </c>
      <c r="J33" s="160"/>
      <c r="K33" s="160"/>
      <c r="L33" s="264"/>
      <c r="M33" s="181"/>
      <c r="N33" s="265" t="s">
        <v>563</v>
      </c>
      <c r="O33" s="265"/>
      <c r="P33" s="188"/>
      <c r="Q33" s="160"/>
      <c r="R33" s="190"/>
      <c r="S33" s="120"/>
      <c r="T33" s="120"/>
      <c r="U33" s="120"/>
      <c r="V33" s="120"/>
      <c r="W33" s="120"/>
      <c r="X33" s="120"/>
      <c r="Y33" s="120"/>
      <c r="Z33" s="120"/>
      <c r="AA33" s="120"/>
      <c r="AB33" s="120" t="s">
        <v>149</v>
      </c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45" t="s">
        <v>430</v>
      </c>
      <c r="AU33" s="146"/>
      <c r="AV33" s="146"/>
      <c r="AW33" s="146"/>
      <c r="AX33" s="146"/>
      <c r="AY33" s="147"/>
      <c r="AZ33" s="280"/>
      <c r="BA33" s="287"/>
      <c r="BB33" s="279"/>
    </row>
    <row r="34" spans="1:54" ht="12.75" customHeight="1">
      <c r="A34" s="144"/>
      <c r="B34" s="144" t="s">
        <v>222</v>
      </c>
      <c r="C34" s="169"/>
      <c r="D34" s="228"/>
      <c r="E34" s="228"/>
      <c r="F34" s="164"/>
      <c r="G34" s="227"/>
      <c r="H34" s="169"/>
      <c r="I34" s="164"/>
      <c r="J34" s="160"/>
      <c r="K34" s="160"/>
      <c r="L34" s="181"/>
      <c r="M34" s="181"/>
      <c r="N34" s="265"/>
      <c r="O34" s="265"/>
      <c r="P34" s="188"/>
      <c r="Q34" s="160"/>
      <c r="R34" s="190"/>
      <c r="S34" s="120"/>
      <c r="T34" s="120"/>
      <c r="U34" s="120"/>
      <c r="V34" s="120"/>
      <c r="W34" s="120"/>
      <c r="X34" s="120"/>
      <c r="Y34" s="120"/>
      <c r="Z34" s="120"/>
      <c r="AA34" s="120"/>
      <c r="AB34" s="120" t="s">
        <v>18</v>
      </c>
      <c r="AC34" s="120"/>
      <c r="AD34" s="120"/>
      <c r="AE34" s="120"/>
      <c r="AF34" s="120"/>
      <c r="AG34" s="120"/>
      <c r="AH34" s="120"/>
      <c r="AI34" s="120"/>
      <c r="AJ34" s="120"/>
      <c r="AK34" s="120" t="s">
        <v>149</v>
      </c>
      <c r="AL34" s="120"/>
      <c r="AM34" s="120"/>
      <c r="AN34" s="120"/>
      <c r="AO34" s="120"/>
      <c r="AP34" s="120"/>
      <c r="AQ34" s="120"/>
      <c r="AR34" s="120"/>
      <c r="AS34" s="120"/>
      <c r="AT34" s="145" t="s">
        <v>437</v>
      </c>
      <c r="AU34" s="146"/>
      <c r="AV34" s="146"/>
      <c r="AW34" s="146"/>
      <c r="AX34" s="146"/>
      <c r="AY34" s="147"/>
      <c r="AZ34" s="280"/>
      <c r="BA34" s="293"/>
      <c r="BB34" s="279"/>
    </row>
    <row r="35" spans="1:54" ht="12.75" customHeight="1">
      <c r="A35" s="143" t="s">
        <v>228</v>
      </c>
      <c r="B35" s="143" t="s">
        <v>239</v>
      </c>
      <c r="C35" s="197">
        <v>623125142</v>
      </c>
      <c r="D35" s="325">
        <v>13749.8207</v>
      </c>
      <c r="E35" s="325">
        <v>13836.677</v>
      </c>
      <c r="F35" s="175">
        <v>2400</v>
      </c>
      <c r="G35" s="326">
        <f t="shared" si="1"/>
        <v>86.85629999999946</v>
      </c>
      <c r="H35" s="171"/>
      <c r="I35" s="175">
        <f>ROUND(G35*F35,0)</f>
        <v>208455</v>
      </c>
      <c r="J35" s="160"/>
      <c r="K35" s="160"/>
      <c r="L35" s="264"/>
      <c r="M35" s="181"/>
      <c r="N35" s="266" t="s">
        <v>283</v>
      </c>
      <c r="O35" s="266"/>
      <c r="P35" s="188"/>
      <c r="Q35" s="160"/>
      <c r="R35" s="190"/>
      <c r="S35" s="120"/>
      <c r="T35" s="120"/>
      <c r="U35" s="120"/>
      <c r="V35" s="120"/>
      <c r="W35" s="120"/>
      <c r="X35" s="120"/>
      <c r="Y35" s="120"/>
      <c r="Z35" s="120"/>
      <c r="AA35" s="120"/>
      <c r="AB35" s="120" t="s">
        <v>167</v>
      </c>
      <c r="AC35" s="120"/>
      <c r="AD35" s="120"/>
      <c r="AE35" s="120"/>
      <c r="AF35" s="120"/>
      <c r="AG35" s="120" t="s">
        <v>134</v>
      </c>
      <c r="AH35" s="120"/>
      <c r="AI35" s="120" t="s">
        <v>133</v>
      </c>
      <c r="AJ35" s="120"/>
      <c r="AK35" s="120" t="s">
        <v>462</v>
      </c>
      <c r="AL35" s="120"/>
      <c r="AM35" s="120"/>
      <c r="AN35" s="120"/>
      <c r="AO35" s="120"/>
      <c r="AP35" s="120"/>
      <c r="AQ35" s="120" t="s">
        <v>463</v>
      </c>
      <c r="AR35" s="120"/>
      <c r="AS35" s="120"/>
      <c r="AT35" s="145" t="s">
        <v>430</v>
      </c>
      <c r="AU35" s="146"/>
      <c r="AV35" s="146"/>
      <c r="AW35" s="146"/>
      <c r="AX35" s="146"/>
      <c r="AY35" s="147"/>
      <c r="AZ35" s="280"/>
      <c r="BA35" s="293"/>
      <c r="BB35" s="279"/>
    </row>
    <row r="36" spans="1:54" ht="12.75" customHeight="1">
      <c r="A36" s="144"/>
      <c r="B36" s="144" t="s">
        <v>222</v>
      </c>
      <c r="C36" s="169"/>
      <c r="D36" s="228"/>
      <c r="E36" s="228"/>
      <c r="F36" s="164"/>
      <c r="G36" s="227"/>
      <c r="H36" s="169"/>
      <c r="I36" s="164"/>
      <c r="J36" s="160"/>
      <c r="K36" s="239"/>
      <c r="L36" s="181"/>
      <c r="M36" s="181"/>
      <c r="N36" s="267" t="s">
        <v>281</v>
      </c>
      <c r="O36" s="188"/>
      <c r="P36" s="188"/>
      <c r="Q36" s="160"/>
      <c r="R36" s="190"/>
      <c r="S36" s="120"/>
      <c r="T36" s="120"/>
      <c r="U36" s="120"/>
      <c r="V36" s="120"/>
      <c r="W36" s="120"/>
      <c r="X36" s="120"/>
      <c r="Y36" s="120"/>
      <c r="Z36" s="120"/>
      <c r="AA36" s="120"/>
      <c r="AB36" s="120" t="s">
        <v>188</v>
      </c>
      <c r="AC36" s="120"/>
      <c r="AD36" s="120"/>
      <c r="AE36" s="120"/>
      <c r="AF36" s="120"/>
      <c r="AG36" s="120" t="s">
        <v>150</v>
      </c>
      <c r="AH36" s="120"/>
      <c r="AI36" s="120"/>
      <c r="AJ36" s="120"/>
      <c r="AK36" s="120"/>
      <c r="AL36" s="120"/>
      <c r="AM36" s="120"/>
      <c r="AN36" s="120"/>
      <c r="AO36" s="120"/>
      <c r="AP36" s="120"/>
      <c r="AQ36" s="120" t="s">
        <v>150</v>
      </c>
      <c r="AR36" s="120"/>
      <c r="AS36" s="120"/>
      <c r="AT36" s="145" t="s">
        <v>430</v>
      </c>
      <c r="AU36" s="146"/>
      <c r="AV36" s="146"/>
      <c r="AW36" s="146"/>
      <c r="AX36" s="146"/>
      <c r="AY36" s="147"/>
      <c r="AZ36" s="280"/>
      <c r="BA36" s="293"/>
      <c r="BB36" s="279"/>
    </row>
    <row r="37" spans="1:54" ht="12.75" customHeight="1">
      <c r="A37" s="143" t="s">
        <v>229</v>
      </c>
      <c r="B37" s="143" t="s">
        <v>240</v>
      </c>
      <c r="C37" s="197">
        <v>623125205</v>
      </c>
      <c r="D37" s="325">
        <v>4843.3854</v>
      </c>
      <c r="E37" s="325">
        <v>4943.1806</v>
      </c>
      <c r="F37" s="175">
        <v>1800</v>
      </c>
      <c r="G37" s="326">
        <f t="shared" si="1"/>
        <v>99.79519999999957</v>
      </c>
      <c r="H37" s="171"/>
      <c r="I37" s="175">
        <f>ROUND(G37*F37,0)</f>
        <v>179631</v>
      </c>
      <c r="J37" s="120"/>
      <c r="K37" s="160"/>
      <c r="L37" s="160"/>
      <c r="M37" s="160"/>
      <c r="N37" s="160"/>
      <c r="O37" s="160"/>
      <c r="P37" s="190"/>
      <c r="Q37" s="236"/>
      <c r="R37" s="237"/>
      <c r="S37" s="120" t="s">
        <v>160</v>
      </c>
      <c r="T37" s="120"/>
      <c r="U37" s="120"/>
      <c r="V37" s="120"/>
      <c r="W37" s="120"/>
      <c r="X37" s="120" t="s">
        <v>450</v>
      </c>
      <c r="Y37" s="120"/>
      <c r="Z37" s="120" t="s">
        <v>137</v>
      </c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46" t="s">
        <v>323</v>
      </c>
      <c r="AU37" s="146"/>
      <c r="AV37" s="146"/>
      <c r="AW37" s="146"/>
      <c r="AX37" s="146"/>
      <c r="AY37" s="147"/>
      <c r="AZ37" s="280"/>
      <c r="BA37" s="287"/>
      <c r="BB37" s="279"/>
    </row>
    <row r="38" spans="1:54" ht="12.75" customHeight="1">
      <c r="A38" s="144"/>
      <c r="B38" s="144" t="s">
        <v>222</v>
      </c>
      <c r="C38" s="169"/>
      <c r="D38" s="228"/>
      <c r="E38" s="228"/>
      <c r="F38" s="164"/>
      <c r="G38" s="227"/>
      <c r="H38" s="169"/>
      <c r="I38" s="164"/>
      <c r="J38" s="120"/>
      <c r="K38" s="160"/>
      <c r="L38" s="160"/>
      <c r="M38" s="160"/>
      <c r="N38" s="160"/>
      <c r="O38" s="160"/>
      <c r="P38" s="190"/>
      <c r="Q38" s="236"/>
      <c r="R38" s="237"/>
      <c r="S38" s="120"/>
      <c r="T38" s="120"/>
      <c r="U38" s="120"/>
      <c r="V38" s="120"/>
      <c r="W38" s="120"/>
      <c r="X38" s="120" t="s">
        <v>150</v>
      </c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45" t="s">
        <v>430</v>
      </c>
      <c r="AU38" s="146"/>
      <c r="AV38" s="146" t="s">
        <v>96</v>
      </c>
      <c r="AW38" s="146"/>
      <c r="AX38" s="146"/>
      <c r="AY38" s="147"/>
      <c r="AZ38" s="280"/>
      <c r="BA38" s="293"/>
      <c r="BB38" s="279"/>
    </row>
    <row r="39" spans="1:54" ht="12.75" customHeight="1">
      <c r="A39" s="143" t="s">
        <v>230</v>
      </c>
      <c r="B39" s="143" t="s">
        <v>241</v>
      </c>
      <c r="C39" s="197">
        <v>623123704</v>
      </c>
      <c r="D39" s="325">
        <v>7730.7647</v>
      </c>
      <c r="E39" s="325">
        <v>7805.0889</v>
      </c>
      <c r="F39" s="175">
        <v>1800</v>
      </c>
      <c r="G39" s="326">
        <f t="shared" si="1"/>
        <v>74.32420000000002</v>
      </c>
      <c r="H39" s="171"/>
      <c r="I39" s="175">
        <f>ROUND(G39*F39,0)</f>
        <v>133784</v>
      </c>
      <c r="J39" s="120"/>
      <c r="K39" s="160"/>
      <c r="L39" s="160"/>
      <c r="M39" s="160"/>
      <c r="N39" s="160"/>
      <c r="O39" s="160"/>
      <c r="P39" s="190"/>
      <c r="Q39" s="236"/>
      <c r="R39" s="237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45" t="s">
        <v>431</v>
      </c>
      <c r="AU39" s="146"/>
      <c r="AV39" s="146" t="s">
        <v>416</v>
      </c>
      <c r="AW39" s="146"/>
      <c r="AX39" s="146"/>
      <c r="AY39" s="147"/>
      <c r="AZ39" s="280"/>
      <c r="BA39" s="293"/>
      <c r="BB39" s="279"/>
    </row>
    <row r="40" spans="1:54" ht="12.75" customHeight="1">
      <c r="A40" s="144"/>
      <c r="B40" s="144" t="s">
        <v>222</v>
      </c>
      <c r="C40" s="169"/>
      <c r="D40" s="228"/>
      <c r="E40" s="228"/>
      <c r="F40" s="164"/>
      <c r="G40" s="227"/>
      <c r="H40" s="169"/>
      <c r="I40" s="164"/>
      <c r="J40" s="120"/>
      <c r="K40" s="160"/>
      <c r="L40" s="160"/>
      <c r="M40" s="160"/>
      <c r="N40" s="160"/>
      <c r="O40" s="160"/>
      <c r="P40" s="190"/>
      <c r="Q40" s="236"/>
      <c r="R40" s="237"/>
      <c r="S40" s="239"/>
      <c r="T40" s="268"/>
      <c r="U40" s="160"/>
      <c r="V40" s="160"/>
      <c r="W40" s="188"/>
      <c r="X40" s="188"/>
      <c r="Y40" s="269"/>
      <c r="Z40" s="160"/>
      <c r="AA40" s="19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45"/>
      <c r="AU40" s="146"/>
      <c r="AV40" s="146"/>
      <c r="AW40" s="146"/>
      <c r="AX40" s="146"/>
      <c r="AY40" s="147"/>
      <c r="AZ40" s="280"/>
      <c r="BA40" s="293"/>
      <c r="BB40" s="279"/>
    </row>
    <row r="41" spans="1:54" ht="12.75" customHeight="1">
      <c r="A41" s="143" t="s">
        <v>231</v>
      </c>
      <c r="B41" s="143" t="s">
        <v>242</v>
      </c>
      <c r="C41" s="197">
        <v>623125794</v>
      </c>
      <c r="D41" s="325">
        <v>77.4504</v>
      </c>
      <c r="E41" s="325">
        <v>92.7965</v>
      </c>
      <c r="F41" s="175">
        <v>1800</v>
      </c>
      <c r="G41" s="326">
        <f t="shared" si="1"/>
        <v>15.346099999999993</v>
      </c>
      <c r="H41" s="171"/>
      <c r="I41" s="175">
        <f>ROUND(G41*F41,0)</f>
        <v>27623</v>
      </c>
      <c r="J41" s="120"/>
      <c r="K41" s="160"/>
      <c r="L41" s="160"/>
      <c r="M41" s="160"/>
      <c r="N41" s="160"/>
      <c r="O41" s="160"/>
      <c r="P41" s="190"/>
      <c r="Q41" s="236"/>
      <c r="R41" s="237"/>
      <c r="S41" s="239"/>
      <c r="T41" s="268"/>
      <c r="U41" s="160"/>
      <c r="V41" s="160"/>
      <c r="W41" s="188"/>
      <c r="X41" s="188"/>
      <c r="Y41" s="269"/>
      <c r="Z41" s="160"/>
      <c r="AA41" s="19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45"/>
      <c r="AU41" s="146"/>
      <c r="AV41" s="146"/>
      <c r="AW41" s="146"/>
      <c r="AX41" s="146"/>
      <c r="AY41" s="147"/>
      <c r="AZ41" s="280"/>
      <c r="BA41" s="293"/>
      <c r="BB41" s="279"/>
    </row>
    <row r="42" spans="1:54" ht="12.75" customHeight="1">
      <c r="A42" s="144"/>
      <c r="B42" s="144" t="s">
        <v>222</v>
      </c>
      <c r="C42" s="169"/>
      <c r="D42" s="228"/>
      <c r="E42" s="228"/>
      <c r="F42" s="164"/>
      <c r="G42" s="227"/>
      <c r="H42" s="169"/>
      <c r="I42" s="164"/>
      <c r="J42" s="120"/>
      <c r="K42" s="160"/>
      <c r="L42" s="160"/>
      <c r="M42" s="160"/>
      <c r="N42" s="160"/>
      <c r="O42" s="160"/>
      <c r="P42" s="190"/>
      <c r="Q42" s="236"/>
      <c r="R42" s="237"/>
      <c r="S42" s="268"/>
      <c r="T42" s="239"/>
      <c r="U42" s="160"/>
      <c r="V42" s="160"/>
      <c r="W42" s="160"/>
      <c r="X42" s="160"/>
      <c r="Y42" s="160"/>
      <c r="Z42" s="160"/>
      <c r="AA42" s="19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45"/>
      <c r="AU42" s="146"/>
      <c r="AV42" s="146"/>
      <c r="AW42" s="146"/>
      <c r="AX42" s="146"/>
      <c r="AY42" s="147"/>
      <c r="AZ42" s="280"/>
      <c r="BA42" s="287"/>
      <c r="BB42" s="279"/>
    </row>
    <row r="43" spans="1:54" ht="12.75" customHeight="1">
      <c r="A43" s="143" t="s">
        <v>232</v>
      </c>
      <c r="B43" s="143" t="s">
        <v>243</v>
      </c>
      <c r="C43" s="197">
        <v>623125736</v>
      </c>
      <c r="D43" s="325">
        <v>4223.6014</v>
      </c>
      <c r="E43" s="325">
        <v>4243.1676</v>
      </c>
      <c r="F43" s="175">
        <v>1200</v>
      </c>
      <c r="G43" s="326">
        <f t="shared" si="1"/>
        <v>19.566200000000208</v>
      </c>
      <c r="H43" s="171"/>
      <c r="I43" s="175">
        <f>ROUND(G43*F43,0)</f>
        <v>23479</v>
      </c>
      <c r="J43" s="120"/>
      <c r="K43" s="160"/>
      <c r="L43" s="160"/>
      <c r="M43" s="160"/>
      <c r="N43" s="160"/>
      <c r="O43" s="160"/>
      <c r="P43" s="190"/>
      <c r="Q43" s="236"/>
      <c r="R43" s="237"/>
      <c r="S43" s="239"/>
      <c r="T43" s="268"/>
      <c r="U43" s="160"/>
      <c r="V43" s="160"/>
      <c r="W43" s="188"/>
      <c r="X43" s="188"/>
      <c r="Y43" s="269"/>
      <c r="Z43" s="160"/>
      <c r="AA43" s="19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45" t="s">
        <v>323</v>
      </c>
      <c r="AU43" s="146"/>
      <c r="AV43" s="146"/>
      <c r="AW43" s="146"/>
      <c r="AX43" s="146"/>
      <c r="AY43" s="147"/>
      <c r="AZ43" s="280"/>
      <c r="BA43" s="293"/>
      <c r="BB43" s="279"/>
    </row>
    <row r="44" spans="1:54" ht="12.75" customHeight="1">
      <c r="A44" s="144"/>
      <c r="B44" s="144" t="s">
        <v>222</v>
      </c>
      <c r="C44" s="168"/>
      <c r="D44" s="228"/>
      <c r="E44" s="228"/>
      <c r="F44" s="164"/>
      <c r="G44" s="227"/>
      <c r="H44" s="169"/>
      <c r="I44" s="164"/>
      <c r="J44" s="160"/>
      <c r="K44" s="160"/>
      <c r="L44" s="160"/>
      <c r="M44" s="160"/>
      <c r="N44" s="160"/>
      <c r="O44" s="160"/>
      <c r="P44" s="190"/>
      <c r="Q44" s="236"/>
      <c r="R44" s="237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45"/>
      <c r="AU44" s="146"/>
      <c r="AV44" s="146"/>
      <c r="AW44" s="146"/>
      <c r="AX44" s="146"/>
      <c r="AY44" s="147"/>
      <c r="AZ44" s="280"/>
      <c r="BA44" s="287"/>
      <c r="BB44" s="279"/>
    </row>
    <row r="45" spans="1:54" ht="12.75" customHeight="1">
      <c r="A45" s="143" t="s">
        <v>233</v>
      </c>
      <c r="B45" s="145" t="s">
        <v>234</v>
      </c>
      <c r="C45" s="197">
        <v>1110171156</v>
      </c>
      <c r="D45" s="325">
        <v>12109.1984</v>
      </c>
      <c r="E45" s="325">
        <v>12274.414</v>
      </c>
      <c r="F45" s="175">
        <v>40</v>
      </c>
      <c r="G45" s="326">
        <f>E45-D45</f>
        <v>165.21560000000136</v>
      </c>
      <c r="H45" s="171"/>
      <c r="I45" s="175">
        <f>ROUND(G45*F45,0)</f>
        <v>6609</v>
      </c>
      <c r="J45" s="160"/>
      <c r="K45" s="160"/>
      <c r="L45" s="160"/>
      <c r="M45" s="160"/>
      <c r="N45" s="160"/>
      <c r="O45" s="160"/>
      <c r="P45" s="190"/>
      <c r="Q45" s="238"/>
      <c r="R45" s="237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45" t="s">
        <v>3</v>
      </c>
      <c r="AU45" s="146"/>
      <c r="AV45" s="146"/>
      <c r="AW45" s="146"/>
      <c r="AX45" s="146"/>
      <c r="AY45" s="147"/>
      <c r="AZ45" s="280"/>
      <c r="BA45" s="287"/>
      <c r="BB45" s="279"/>
    </row>
    <row r="46" spans="1:54" ht="12.75" customHeight="1">
      <c r="A46" s="144"/>
      <c r="B46" s="103" t="s">
        <v>222</v>
      </c>
      <c r="C46" s="198"/>
      <c r="D46" s="378"/>
      <c r="E46" s="325"/>
      <c r="F46" s="175"/>
      <c r="G46" s="326"/>
      <c r="H46" s="171"/>
      <c r="I46" s="175"/>
      <c r="J46" s="160"/>
      <c r="K46" s="160"/>
      <c r="L46" s="160"/>
      <c r="M46" s="160"/>
      <c r="N46" s="160"/>
      <c r="O46" s="160"/>
      <c r="P46" s="190"/>
      <c r="Q46" s="236"/>
      <c r="R46" s="237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45"/>
      <c r="AU46" s="146"/>
      <c r="AV46" s="146" t="s">
        <v>330</v>
      </c>
      <c r="AW46" s="146"/>
      <c r="AX46" s="146"/>
      <c r="AY46" s="147"/>
      <c r="AZ46" s="280"/>
      <c r="BA46" s="298"/>
      <c r="BB46" s="279"/>
    </row>
    <row r="47" spans="1:54" ht="12.75" customHeight="1">
      <c r="A47" s="201"/>
      <c r="B47" s="150"/>
      <c r="C47" s="191"/>
      <c r="D47" s="199"/>
      <c r="E47" s="200"/>
      <c r="F47" s="200"/>
      <c r="G47" s="215" t="s">
        <v>244</v>
      </c>
      <c r="H47" s="151"/>
      <c r="I47" s="235">
        <f>ROUND((SUM(I25:I46)+I20),0)</f>
        <v>3811933</v>
      </c>
      <c r="J47" s="160"/>
      <c r="K47" s="160"/>
      <c r="L47" s="160"/>
      <c r="M47" s="160"/>
      <c r="N47" s="160"/>
      <c r="O47" s="160"/>
      <c r="P47" s="190"/>
      <c r="Q47" s="238"/>
      <c r="R47" s="237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45"/>
      <c r="AU47" s="146"/>
      <c r="AV47" s="146"/>
      <c r="AW47" s="146"/>
      <c r="AX47" s="146"/>
      <c r="AY47" s="147"/>
      <c r="AZ47" s="280"/>
      <c r="BA47" s="287"/>
      <c r="BB47" s="279"/>
    </row>
    <row r="48" spans="1:54" ht="12.75" customHeight="1">
      <c r="A48" s="143" t="s">
        <v>247</v>
      </c>
      <c r="B48" s="145" t="s">
        <v>245</v>
      </c>
      <c r="C48" s="202"/>
      <c r="D48" s="202"/>
      <c r="E48" s="203"/>
      <c r="F48" s="203"/>
      <c r="G48" s="204"/>
      <c r="H48" s="146"/>
      <c r="I48" s="205"/>
      <c r="J48" s="160"/>
      <c r="K48" s="160"/>
      <c r="L48" s="160"/>
      <c r="M48" s="160"/>
      <c r="N48" s="160"/>
      <c r="O48" s="160"/>
      <c r="P48" s="190"/>
      <c r="Q48" s="236"/>
      <c r="R48" s="237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45"/>
      <c r="AU48" s="146"/>
      <c r="AV48" s="146"/>
      <c r="AW48" s="146"/>
      <c r="AX48" s="146"/>
      <c r="AY48" s="147"/>
      <c r="AZ48" s="280"/>
      <c r="BA48" s="298"/>
      <c r="BB48" s="279"/>
    </row>
    <row r="49" spans="1:54" ht="12.75" customHeight="1">
      <c r="A49" s="173"/>
      <c r="B49" s="159" t="s">
        <v>246</v>
      </c>
      <c r="C49" s="206"/>
      <c r="D49" s="191"/>
      <c r="E49" s="207"/>
      <c r="F49" s="207"/>
      <c r="G49" s="208"/>
      <c r="H49" s="148"/>
      <c r="I49" s="209"/>
      <c r="J49" s="160"/>
      <c r="K49" s="160"/>
      <c r="L49" s="239"/>
      <c r="M49" s="160"/>
      <c r="N49" s="160"/>
      <c r="O49" s="160"/>
      <c r="P49" s="190"/>
      <c r="Q49" s="236"/>
      <c r="R49" s="237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45"/>
      <c r="AU49" s="146"/>
      <c r="AV49" s="146" t="s">
        <v>330</v>
      </c>
      <c r="AW49" s="146"/>
      <c r="AX49" s="146"/>
      <c r="AY49" s="147"/>
      <c r="AZ49" s="280"/>
      <c r="BA49" s="293"/>
      <c r="BB49" s="279"/>
    </row>
    <row r="50" spans="1:54" ht="12.75" customHeight="1">
      <c r="A50" s="145" t="s">
        <v>248</v>
      </c>
      <c r="B50" s="143" t="s">
        <v>484</v>
      </c>
      <c r="C50" s="304"/>
      <c r="D50" s="211"/>
      <c r="E50" s="211"/>
      <c r="F50" s="155"/>
      <c r="G50" s="212"/>
      <c r="H50" s="152"/>
      <c r="I50" s="155"/>
      <c r="J50" s="160"/>
      <c r="K50" s="160"/>
      <c r="L50" s="160"/>
      <c r="M50" s="160"/>
      <c r="N50" s="160"/>
      <c r="O50" s="160"/>
      <c r="P50" s="160"/>
      <c r="Q50" s="160"/>
      <c r="R50" s="16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50"/>
      <c r="AU50" s="150"/>
      <c r="AV50" s="270" t="s">
        <v>534</v>
      </c>
      <c r="AW50" s="150"/>
      <c r="AX50" s="150"/>
      <c r="AY50" s="151"/>
      <c r="AZ50" s="280"/>
      <c r="BA50" s="293"/>
      <c r="BB50" s="279"/>
    </row>
    <row r="51" spans="1:54" ht="12.75" customHeight="1">
      <c r="A51" s="159"/>
      <c r="B51" s="173"/>
      <c r="C51" s="305">
        <v>611127627</v>
      </c>
      <c r="D51" s="302">
        <v>6002.3564</v>
      </c>
      <c r="E51" s="302">
        <v>6035.6152</v>
      </c>
      <c r="F51" s="155">
        <v>40</v>
      </c>
      <c r="G51" s="252">
        <f>E51-D51</f>
        <v>33.25880000000052</v>
      </c>
      <c r="H51" s="155"/>
      <c r="I51" s="155">
        <f>ROUND(F51*G51+H51,0)</f>
        <v>1330</v>
      </c>
      <c r="J51" s="160"/>
      <c r="K51" s="160"/>
      <c r="L51" s="160"/>
      <c r="M51" s="160"/>
      <c r="N51" s="160"/>
      <c r="O51" s="160"/>
      <c r="P51" s="160"/>
      <c r="Q51" s="160"/>
      <c r="R51" s="16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60"/>
      <c r="AU51" s="120"/>
      <c r="AV51" s="120"/>
      <c r="AW51" s="120"/>
      <c r="AX51" s="120"/>
      <c r="AY51" s="120"/>
      <c r="AZ51" s="120"/>
      <c r="BA51" s="120"/>
      <c r="BB51" s="120"/>
    </row>
    <row r="52" spans="1:54" ht="12.75" customHeight="1">
      <c r="A52" s="159"/>
      <c r="B52" s="144" t="s">
        <v>467</v>
      </c>
      <c r="C52" s="305"/>
      <c r="D52" s="306"/>
      <c r="E52" s="306"/>
      <c r="F52" s="155"/>
      <c r="G52" s="212"/>
      <c r="H52" s="155"/>
      <c r="I52" s="155"/>
      <c r="J52" s="160"/>
      <c r="K52" s="160"/>
      <c r="L52" s="160"/>
      <c r="M52" s="160"/>
      <c r="N52" s="160"/>
      <c r="O52" s="160"/>
      <c r="P52" s="160"/>
      <c r="Q52" s="160"/>
      <c r="R52" s="16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60"/>
      <c r="AU52" s="120"/>
      <c r="AV52" s="120"/>
      <c r="AW52" s="120"/>
      <c r="AX52" s="120"/>
      <c r="AY52" s="120"/>
      <c r="AZ52" s="120"/>
      <c r="BA52" s="120"/>
      <c r="BB52" s="120"/>
    </row>
    <row r="53" spans="1:54" ht="12.75" customHeight="1">
      <c r="A53" s="143" t="s">
        <v>251</v>
      </c>
      <c r="B53" s="161"/>
      <c r="C53" s="213">
        <v>810120245</v>
      </c>
      <c r="D53" s="302">
        <v>3716.0404</v>
      </c>
      <c r="E53" s="302">
        <v>3753.6339</v>
      </c>
      <c r="F53" s="155">
        <v>3600</v>
      </c>
      <c r="G53" s="252">
        <f>E53-D53</f>
        <v>37.59349999999995</v>
      </c>
      <c r="H53" s="155"/>
      <c r="I53" s="155">
        <f>ROUND(F53*G53+H53,0)</f>
        <v>135337</v>
      </c>
      <c r="J53" s="160"/>
      <c r="K53" s="160"/>
      <c r="L53" s="160"/>
      <c r="M53" s="160"/>
      <c r="N53" s="160"/>
      <c r="O53" s="160"/>
      <c r="P53" s="160"/>
      <c r="Q53" s="160"/>
      <c r="R53" s="16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60" t="s">
        <v>584</v>
      </c>
      <c r="AU53" s="120"/>
      <c r="AV53" s="120"/>
      <c r="AW53" s="120"/>
      <c r="AX53" s="120"/>
      <c r="AY53" s="120"/>
      <c r="AZ53" s="120"/>
      <c r="BA53" s="120"/>
      <c r="BB53" s="120"/>
    </row>
    <row r="54" spans="1:54" ht="12.75" customHeight="1">
      <c r="A54" s="173"/>
      <c r="B54" s="161" t="s">
        <v>494</v>
      </c>
      <c r="C54" s="213"/>
      <c r="D54" s="302"/>
      <c r="E54" s="302"/>
      <c r="F54" s="155"/>
      <c r="G54" s="252"/>
      <c r="H54" s="96"/>
      <c r="I54" s="155"/>
      <c r="J54" s="160"/>
      <c r="K54" s="160"/>
      <c r="L54" s="160"/>
      <c r="M54" s="160"/>
      <c r="N54" s="160"/>
      <c r="O54" s="160"/>
      <c r="P54" s="160"/>
      <c r="Q54" s="160"/>
      <c r="R54" s="16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60"/>
      <c r="AU54" s="120"/>
      <c r="AV54" s="120"/>
      <c r="AW54" s="120"/>
      <c r="AX54" s="120"/>
      <c r="AY54" s="120"/>
      <c r="AZ54" s="120"/>
      <c r="BA54" s="120"/>
      <c r="BB54" s="120"/>
    </row>
    <row r="55" spans="1:54" ht="12.75" customHeight="1">
      <c r="A55" s="173"/>
      <c r="B55" s="161"/>
      <c r="C55" s="210">
        <v>4050284</v>
      </c>
      <c r="D55" s="230">
        <v>4199.893</v>
      </c>
      <c r="E55" s="230">
        <v>4234.5825</v>
      </c>
      <c r="F55" s="155">
        <v>3600</v>
      </c>
      <c r="G55" s="253">
        <f>E55-D55</f>
        <v>34.68950000000041</v>
      </c>
      <c r="H55" s="96"/>
      <c r="I55" s="155">
        <f>ROUND(F55*G55+H55,0)</f>
        <v>124882</v>
      </c>
      <c r="J55" s="160"/>
      <c r="K55" s="160"/>
      <c r="L55" s="160"/>
      <c r="M55" s="160"/>
      <c r="N55" s="160"/>
      <c r="O55" s="160"/>
      <c r="P55" s="160"/>
      <c r="Q55" s="160"/>
      <c r="R55" s="16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60"/>
      <c r="AU55" s="120"/>
      <c r="AV55" s="120"/>
      <c r="AW55" s="120"/>
      <c r="AX55" s="120"/>
      <c r="AY55" s="120"/>
      <c r="AZ55" s="120"/>
      <c r="BA55" s="120"/>
      <c r="BB55" s="120"/>
    </row>
    <row r="56" spans="1:54" ht="12.75" customHeight="1">
      <c r="A56" s="144"/>
      <c r="B56" s="149"/>
      <c r="C56" s="210"/>
      <c r="D56" s="230"/>
      <c r="E56" s="230"/>
      <c r="F56" s="155"/>
      <c r="G56" s="253"/>
      <c r="H56" s="96"/>
      <c r="I56" s="155"/>
      <c r="J56" s="160"/>
      <c r="K56" s="160"/>
      <c r="L56" s="160"/>
      <c r="M56" s="160"/>
      <c r="N56" s="160"/>
      <c r="O56" s="160"/>
      <c r="P56" s="160"/>
      <c r="Q56" s="160"/>
      <c r="R56" s="24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60"/>
      <c r="AU56" s="120"/>
      <c r="AV56" s="120"/>
      <c r="AW56" s="120"/>
      <c r="AX56" s="120"/>
      <c r="AY56" s="120"/>
      <c r="AZ56" s="120"/>
      <c r="BA56" s="120"/>
      <c r="BB56" s="120"/>
    </row>
    <row r="57" spans="1:54" ht="12.75" customHeight="1">
      <c r="A57" s="173" t="s">
        <v>252</v>
      </c>
      <c r="B57" s="143" t="s">
        <v>218</v>
      </c>
      <c r="C57" s="152"/>
      <c r="D57" s="211"/>
      <c r="E57" s="211"/>
      <c r="F57" s="155"/>
      <c r="G57" s="212"/>
      <c r="H57" s="96"/>
      <c r="I57" s="155"/>
      <c r="J57" s="160"/>
      <c r="K57" s="120"/>
      <c r="L57" s="120"/>
      <c r="M57" s="120"/>
      <c r="N57" s="120"/>
      <c r="O57" s="120"/>
      <c r="P57" s="120"/>
      <c r="Q57" s="120"/>
      <c r="R57" s="241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60"/>
      <c r="AU57" s="120"/>
      <c r="AV57" s="120"/>
      <c r="AW57" s="120"/>
      <c r="AX57" s="120"/>
      <c r="AY57" s="120"/>
      <c r="AZ57" s="120"/>
      <c r="BA57" s="120"/>
      <c r="BB57" s="271"/>
    </row>
    <row r="58" spans="1:54" ht="12.75" customHeight="1">
      <c r="A58" s="307"/>
      <c r="B58" s="173" t="s">
        <v>217</v>
      </c>
      <c r="C58" s="305">
        <v>611127492</v>
      </c>
      <c r="D58" s="302">
        <v>20167.4204</v>
      </c>
      <c r="E58" s="302">
        <v>20286.7096</v>
      </c>
      <c r="F58" s="155">
        <v>20</v>
      </c>
      <c r="G58" s="252">
        <f>E58-D58</f>
        <v>119.28919999999925</v>
      </c>
      <c r="H58" s="155"/>
      <c r="I58" s="155">
        <f>ROUND(F58*G58+H58,0)</f>
        <v>2386</v>
      </c>
      <c r="J58" s="16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60"/>
      <c r="AU58" s="120"/>
      <c r="AV58" s="120" t="s">
        <v>144</v>
      </c>
      <c r="AW58" s="120"/>
      <c r="AX58" s="120"/>
      <c r="AY58" s="120"/>
      <c r="AZ58" s="120"/>
      <c r="BA58" s="120"/>
      <c r="BB58" s="272">
        <f>BA9</f>
        <v>3.8187444785202085</v>
      </c>
    </row>
    <row r="59" spans="1:54" ht="12.75" customHeight="1">
      <c r="A59" s="145" t="s">
        <v>253</v>
      </c>
      <c r="B59" s="143" t="s">
        <v>485</v>
      </c>
      <c r="C59" s="309"/>
      <c r="D59" s="211"/>
      <c r="E59" s="211"/>
      <c r="F59" s="155"/>
      <c r="G59" s="212"/>
      <c r="H59" s="96"/>
      <c r="I59" s="155"/>
      <c r="J59" s="160"/>
      <c r="K59" s="160"/>
      <c r="L59" s="160"/>
      <c r="M59" s="160"/>
      <c r="N59" s="160"/>
      <c r="O59" s="160"/>
      <c r="P59" s="160"/>
      <c r="Q59" s="160"/>
      <c r="R59" s="16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60"/>
      <c r="AU59" s="120"/>
      <c r="AV59" s="120"/>
      <c r="AW59" s="120"/>
      <c r="AX59" s="120"/>
      <c r="AY59" s="120"/>
      <c r="AZ59" s="120"/>
      <c r="BA59" s="120"/>
      <c r="BB59" s="120"/>
    </row>
    <row r="60" spans="1:54" ht="12.75" customHeight="1">
      <c r="A60" s="308"/>
      <c r="B60" s="168" t="s">
        <v>546</v>
      </c>
      <c r="C60" s="305">
        <v>611127702</v>
      </c>
      <c r="D60" s="302">
        <v>31422.9396</v>
      </c>
      <c r="E60" s="302">
        <v>31591.942</v>
      </c>
      <c r="F60" s="155">
        <v>60</v>
      </c>
      <c r="G60" s="252">
        <f>E60-D60</f>
        <v>169.00239999999758</v>
      </c>
      <c r="H60" s="96"/>
      <c r="I60" s="155">
        <f>ROUND(F60*G60+H60,0)</f>
        <v>10140</v>
      </c>
      <c r="J60" s="160"/>
      <c r="K60" s="160"/>
      <c r="L60" s="160"/>
      <c r="M60" s="160"/>
      <c r="N60" s="160"/>
      <c r="O60" s="160"/>
      <c r="P60" s="160"/>
      <c r="Q60" s="160"/>
      <c r="R60" s="16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60"/>
      <c r="AU60" s="160"/>
      <c r="AV60" s="160"/>
      <c r="AW60" s="160"/>
      <c r="AX60" s="160"/>
      <c r="AY60" s="160"/>
      <c r="AZ60" s="160"/>
      <c r="BA60" s="160"/>
      <c r="BB60" s="160"/>
    </row>
    <row r="61" spans="1:54" ht="12.75" customHeight="1">
      <c r="A61" s="159"/>
      <c r="B61" s="168" t="s">
        <v>547</v>
      </c>
      <c r="C61" s="305">
        <v>611127555</v>
      </c>
      <c r="D61" s="302">
        <v>8859.9732</v>
      </c>
      <c r="E61" s="302">
        <v>9265.4416</v>
      </c>
      <c r="F61" s="155">
        <v>60</v>
      </c>
      <c r="G61" s="252">
        <f>E61-D61</f>
        <v>405.46839999999975</v>
      </c>
      <c r="H61" s="96"/>
      <c r="I61" s="155">
        <f>ROUND(F61*G61+H61,0)</f>
        <v>24328</v>
      </c>
      <c r="J61" s="160"/>
      <c r="K61" s="160"/>
      <c r="L61" s="160"/>
      <c r="M61" s="160"/>
      <c r="N61" s="160"/>
      <c r="O61" s="242"/>
      <c r="P61" s="243"/>
      <c r="Q61" s="160"/>
      <c r="R61" s="16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60"/>
      <c r="AU61" s="160"/>
      <c r="AV61" s="160"/>
      <c r="AW61" s="160"/>
      <c r="AX61" s="160"/>
      <c r="AY61" s="242"/>
      <c r="AZ61" s="243"/>
      <c r="BA61" s="160"/>
      <c r="BB61" s="160"/>
    </row>
    <row r="62" spans="1:54" ht="12.75" customHeight="1">
      <c r="A62" s="145" t="s">
        <v>258</v>
      </c>
      <c r="B62" s="143" t="s">
        <v>486</v>
      </c>
      <c r="C62" s="310"/>
      <c r="D62" s="232"/>
      <c r="E62" s="232"/>
      <c r="F62" s="155"/>
      <c r="G62" s="212"/>
      <c r="H62" s="96"/>
      <c r="I62" s="155"/>
      <c r="J62" s="160"/>
      <c r="K62" s="160"/>
      <c r="L62" s="160"/>
      <c r="M62" s="160"/>
      <c r="N62" s="160"/>
      <c r="O62" s="160"/>
      <c r="P62" s="160"/>
      <c r="Q62" s="160"/>
      <c r="R62" s="16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60"/>
      <c r="AU62" s="160"/>
      <c r="AV62" s="160"/>
      <c r="AW62" s="160"/>
      <c r="AX62" s="160"/>
      <c r="AY62" s="160"/>
      <c r="AZ62" s="160"/>
      <c r="BA62" s="160"/>
      <c r="BB62" s="160"/>
    </row>
    <row r="63" spans="1:54" ht="12.75" customHeight="1">
      <c r="A63" s="308"/>
      <c r="B63" s="173"/>
      <c r="C63" s="305">
        <v>1110171163</v>
      </c>
      <c r="D63" s="302">
        <v>941.3748</v>
      </c>
      <c r="E63" s="302">
        <v>1042.9236</v>
      </c>
      <c r="F63" s="155">
        <v>60</v>
      </c>
      <c r="G63" s="252">
        <f>E63-D63</f>
        <v>101.54880000000003</v>
      </c>
      <c r="H63" s="96"/>
      <c r="I63" s="155">
        <f>ROUND(F63*G63+H63,0)</f>
        <v>6093</v>
      </c>
      <c r="J63" s="243"/>
      <c r="K63" s="160"/>
      <c r="L63" s="160"/>
      <c r="M63" s="160"/>
      <c r="N63" s="160"/>
      <c r="O63" s="160"/>
      <c r="P63" s="189"/>
      <c r="Q63" s="160"/>
      <c r="R63" s="244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243"/>
      <c r="AU63" s="160"/>
      <c r="AV63" s="160"/>
      <c r="AW63" s="160"/>
      <c r="AX63" s="160"/>
      <c r="AY63" s="160"/>
      <c r="AZ63" s="189"/>
      <c r="BA63" s="160"/>
      <c r="BB63" s="244"/>
    </row>
    <row r="64" spans="1:54" ht="12.75" customHeight="1">
      <c r="A64" s="159"/>
      <c r="B64" s="173"/>
      <c r="C64" s="305"/>
      <c r="D64" s="302"/>
      <c r="E64" s="302"/>
      <c r="F64" s="155"/>
      <c r="G64" s="252"/>
      <c r="H64" s="96"/>
      <c r="I64" s="155"/>
      <c r="J64" s="243"/>
      <c r="K64" s="160"/>
      <c r="L64" s="160"/>
      <c r="M64" s="160"/>
      <c r="N64" s="160"/>
      <c r="O64" s="160"/>
      <c r="P64" s="189"/>
      <c r="Q64" s="160"/>
      <c r="R64" s="244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243"/>
      <c r="AU64" s="160"/>
      <c r="AV64" s="160"/>
      <c r="AW64" s="160"/>
      <c r="AX64" s="160"/>
      <c r="AY64" s="160"/>
      <c r="AZ64" s="189"/>
      <c r="BA64" s="160"/>
      <c r="BB64" s="244"/>
    </row>
    <row r="65" spans="1:54" ht="12.75" customHeight="1">
      <c r="A65" s="145" t="s">
        <v>260</v>
      </c>
      <c r="B65" s="143" t="s">
        <v>487</v>
      </c>
      <c r="C65" s="311"/>
      <c r="D65" s="232"/>
      <c r="E65" s="232"/>
      <c r="F65" s="155"/>
      <c r="G65" s="212"/>
      <c r="H65" s="96"/>
      <c r="I65" s="155"/>
      <c r="J65" s="243"/>
      <c r="K65" s="160"/>
      <c r="L65" s="160"/>
      <c r="M65" s="160"/>
      <c r="N65" s="160"/>
      <c r="O65" s="160"/>
      <c r="P65" s="189"/>
      <c r="Q65" s="160"/>
      <c r="R65" s="244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243"/>
      <c r="AU65" s="160"/>
      <c r="AV65" s="160"/>
      <c r="AW65" s="160"/>
      <c r="AX65" s="160"/>
      <c r="AY65" s="160"/>
      <c r="AZ65" s="189"/>
      <c r="BA65" s="160"/>
      <c r="BB65" s="244"/>
    </row>
    <row r="66" spans="1:54" ht="12.75" customHeight="1">
      <c r="A66" s="159"/>
      <c r="B66" s="173"/>
      <c r="C66" s="305">
        <v>1110171170</v>
      </c>
      <c r="D66" s="302">
        <v>154.5552</v>
      </c>
      <c r="E66" s="302">
        <v>161.4472</v>
      </c>
      <c r="F66" s="155">
        <v>40</v>
      </c>
      <c r="G66" s="252">
        <f>E66-D66</f>
        <v>6.891999999999996</v>
      </c>
      <c r="H66" s="155"/>
      <c r="I66" s="155">
        <f>ROUND(F66*G66+H66,0)</f>
        <v>276</v>
      </c>
      <c r="J66" s="243"/>
      <c r="K66" s="160"/>
      <c r="L66" s="160"/>
      <c r="M66" s="160"/>
      <c r="N66" s="160"/>
      <c r="O66" s="160"/>
      <c r="P66" s="189"/>
      <c r="Q66" s="160"/>
      <c r="R66" s="244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243"/>
      <c r="AU66" s="160"/>
      <c r="AV66" s="160"/>
      <c r="AW66" s="160"/>
      <c r="AX66" s="160"/>
      <c r="AY66" s="160"/>
      <c r="AZ66" s="189"/>
      <c r="BA66" s="160"/>
      <c r="BB66" s="244"/>
    </row>
    <row r="67" spans="1:54" ht="12.75" customHeight="1">
      <c r="A67" s="159"/>
      <c r="B67" s="173"/>
      <c r="C67" s="305"/>
      <c r="D67" s="302"/>
      <c r="E67" s="302"/>
      <c r="F67" s="155"/>
      <c r="G67" s="252"/>
      <c r="H67" s="155"/>
      <c r="I67" s="155"/>
      <c r="J67" s="16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60"/>
      <c r="AU67" s="160"/>
      <c r="AV67" s="160"/>
      <c r="AW67" s="160"/>
      <c r="AX67" s="160"/>
      <c r="AY67" s="160"/>
      <c r="AZ67" s="160"/>
      <c r="BA67" s="160"/>
      <c r="BB67" s="160"/>
    </row>
    <row r="68" spans="1:54" ht="12.75" customHeight="1">
      <c r="A68" s="145" t="s">
        <v>261</v>
      </c>
      <c r="B68" s="143" t="s">
        <v>550</v>
      </c>
      <c r="C68" s="305">
        <v>611126342</v>
      </c>
      <c r="D68" s="302">
        <v>25782.5391</v>
      </c>
      <c r="E68" s="302">
        <v>25782.5391</v>
      </c>
      <c r="F68" s="155">
        <v>1800</v>
      </c>
      <c r="G68" s="252">
        <f>E68-D68</f>
        <v>0</v>
      </c>
      <c r="H68" s="155"/>
      <c r="I68" s="155">
        <f>ROUND(F68*G68+H68,0)</f>
        <v>0</v>
      </c>
      <c r="J68" s="160"/>
      <c r="K68" s="160"/>
      <c r="L68" s="160"/>
      <c r="M68" s="160"/>
      <c r="N68" s="160"/>
      <c r="O68" s="160"/>
      <c r="P68" s="160"/>
      <c r="Q68" s="160"/>
      <c r="R68" s="16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60"/>
      <c r="AU68" s="160"/>
      <c r="AV68" s="160"/>
      <c r="AW68" s="160"/>
      <c r="AX68" s="160"/>
      <c r="AY68" s="160"/>
      <c r="AZ68" s="160"/>
      <c r="BA68" s="160"/>
      <c r="BB68" s="160"/>
    </row>
    <row r="69" spans="1:54" ht="12.75" customHeight="1">
      <c r="A69" s="159"/>
      <c r="B69" s="173" t="s">
        <v>551</v>
      </c>
      <c r="C69" s="305">
        <v>611126404</v>
      </c>
      <c r="D69" s="302">
        <v>564.5463</v>
      </c>
      <c r="E69" s="302">
        <v>570.4124</v>
      </c>
      <c r="F69" s="155">
        <v>1800</v>
      </c>
      <c r="G69" s="252">
        <f>E69-D69</f>
        <v>5.866100000000074</v>
      </c>
      <c r="H69" s="155"/>
      <c r="I69" s="155">
        <f>ROUND((F69*G69+H69),0)</f>
        <v>10559</v>
      </c>
      <c r="J69" s="160"/>
      <c r="K69" s="160"/>
      <c r="L69" s="160"/>
      <c r="M69" s="160"/>
      <c r="N69" s="160"/>
      <c r="O69" s="242"/>
      <c r="P69" s="243"/>
      <c r="Q69" s="160"/>
      <c r="R69" s="16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60"/>
      <c r="AU69" s="160"/>
      <c r="AV69" s="160"/>
      <c r="AW69" s="160"/>
      <c r="AX69" s="160"/>
      <c r="AY69" s="242"/>
      <c r="AZ69" s="243"/>
      <c r="BA69" s="160"/>
      <c r="BB69" s="160"/>
    </row>
    <row r="70" spans="1:54" ht="12.75" customHeight="1">
      <c r="A70" s="103"/>
      <c r="B70" s="144" t="s">
        <v>509</v>
      </c>
      <c r="C70" s="305">
        <v>611126334</v>
      </c>
      <c r="D70" s="302">
        <v>2.3724</v>
      </c>
      <c r="E70" s="302">
        <v>2.3724</v>
      </c>
      <c r="F70" s="155">
        <v>1800</v>
      </c>
      <c r="G70" s="252">
        <f>E70-D70</f>
        <v>0</v>
      </c>
      <c r="H70" s="96"/>
      <c r="I70" s="155">
        <f>ROUND(F70*G70+H70,0)</f>
        <v>0</v>
      </c>
      <c r="J70" s="160"/>
      <c r="K70" s="160"/>
      <c r="L70" s="160"/>
      <c r="M70" s="160"/>
      <c r="N70" s="160"/>
      <c r="O70" s="160"/>
      <c r="P70" s="160"/>
      <c r="Q70" s="160"/>
      <c r="R70" s="16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60"/>
      <c r="AU70" s="160"/>
      <c r="AV70" s="160"/>
      <c r="AW70" s="160"/>
      <c r="AX70" s="160"/>
      <c r="AY70" s="160"/>
      <c r="AZ70" s="160"/>
      <c r="BA70" s="160"/>
      <c r="BB70" s="160"/>
    </row>
    <row r="71" spans="1:54" ht="12.75" customHeight="1">
      <c r="A71" s="159" t="s">
        <v>477</v>
      </c>
      <c r="B71" s="173" t="s">
        <v>488</v>
      </c>
      <c r="C71" s="305">
        <v>611127724</v>
      </c>
      <c r="D71" s="302">
        <v>1860.624</v>
      </c>
      <c r="E71" s="302">
        <v>1877.5788</v>
      </c>
      <c r="F71" s="155">
        <v>30</v>
      </c>
      <c r="G71" s="252">
        <f>E71-D71</f>
        <v>16.954799999999977</v>
      </c>
      <c r="H71" s="155"/>
      <c r="I71" s="155">
        <f>ROUND(F71*G71+H71,0)</f>
        <v>509</v>
      </c>
      <c r="J71" s="243"/>
      <c r="K71" s="160"/>
      <c r="L71" s="160"/>
      <c r="M71" s="160"/>
      <c r="N71" s="160"/>
      <c r="O71" s="160"/>
      <c r="P71" s="189"/>
      <c r="Q71" s="160"/>
      <c r="R71" s="244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243"/>
      <c r="AU71" s="160"/>
      <c r="AV71" s="160"/>
      <c r="AW71" s="160"/>
      <c r="AX71" s="160"/>
      <c r="AY71" s="160"/>
      <c r="AZ71" s="189"/>
      <c r="BA71" s="160"/>
      <c r="BB71" s="244"/>
    </row>
    <row r="72" spans="1:54" ht="12.75" customHeight="1">
      <c r="A72" s="103"/>
      <c r="B72" s="173" t="s">
        <v>542</v>
      </c>
      <c r="C72" s="305"/>
      <c r="D72" s="306"/>
      <c r="E72" s="306"/>
      <c r="F72" s="155"/>
      <c r="G72" s="212"/>
      <c r="H72" s="155"/>
      <c r="I72" s="155"/>
      <c r="J72" s="243"/>
      <c r="K72" s="160" t="s">
        <v>576</v>
      </c>
      <c r="L72" s="160"/>
      <c r="M72" s="160"/>
      <c r="N72" s="160"/>
      <c r="O72" s="160"/>
      <c r="P72" s="189"/>
      <c r="Q72" s="160"/>
      <c r="R72" s="244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243"/>
      <c r="AU72" s="160"/>
      <c r="AV72" s="160"/>
      <c r="AW72" s="160"/>
      <c r="AX72" s="160"/>
      <c r="AY72" s="160"/>
      <c r="AZ72" s="189"/>
      <c r="BA72" s="160"/>
      <c r="BB72" s="244"/>
    </row>
    <row r="73" spans="1:54" ht="12.75" customHeight="1">
      <c r="A73" s="96"/>
      <c r="B73" s="312"/>
      <c r="C73" s="171"/>
      <c r="D73" s="212"/>
      <c r="E73" s="212"/>
      <c r="F73" s="155"/>
      <c r="G73" s="212"/>
      <c r="H73" s="155"/>
      <c r="I73" s="155"/>
      <c r="J73" s="243"/>
      <c r="K73" s="160" t="s">
        <v>577</v>
      </c>
      <c r="L73" s="160"/>
      <c r="M73" s="160"/>
      <c r="N73" s="160"/>
      <c r="O73" s="160"/>
      <c r="P73" s="189"/>
      <c r="Q73" s="160"/>
      <c r="R73" s="244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243"/>
      <c r="AU73" s="160"/>
      <c r="AV73" s="160"/>
      <c r="AW73" s="160"/>
      <c r="AX73" s="160"/>
      <c r="AY73" s="160"/>
      <c r="AZ73" s="189"/>
      <c r="BA73" s="160"/>
      <c r="BB73" s="244"/>
    </row>
    <row r="74" spans="1:54" ht="12.75" customHeight="1">
      <c r="A74" s="103"/>
      <c r="B74" s="148"/>
      <c r="C74" s="150"/>
      <c r="D74" s="150"/>
      <c r="E74" s="150"/>
      <c r="F74" s="150" t="s">
        <v>264</v>
      </c>
      <c r="G74" s="150"/>
      <c r="H74" s="151"/>
      <c r="I74" s="235">
        <f>ROUND((SUM(I50:I69)-I73),0)</f>
        <v>315331</v>
      </c>
      <c r="J74" s="243"/>
      <c r="K74" s="160"/>
      <c r="L74" s="160"/>
      <c r="M74" s="160"/>
      <c r="N74" s="160"/>
      <c r="O74" s="160"/>
      <c r="P74" s="189"/>
      <c r="Q74" s="160"/>
      <c r="R74" s="244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243"/>
      <c r="AU74" s="160"/>
      <c r="AV74" s="160"/>
      <c r="AW74" s="160"/>
      <c r="AX74" s="160"/>
      <c r="AY74" s="160"/>
      <c r="AZ74" s="189"/>
      <c r="BA74" s="160"/>
      <c r="BB74" s="244"/>
    </row>
    <row r="75" spans="1:54" ht="12.75" customHeight="1">
      <c r="A75" s="102"/>
      <c r="B75" s="150"/>
      <c r="C75" s="150"/>
      <c r="D75" s="150"/>
      <c r="E75" s="150"/>
      <c r="F75" s="150"/>
      <c r="G75" s="150" t="s">
        <v>265</v>
      </c>
      <c r="H75" s="151"/>
      <c r="I75" s="235">
        <f>ROUND((I18+I20-I47-I74),0)</f>
        <v>5304631</v>
      </c>
      <c r="J75" s="160"/>
      <c r="K75" s="160">
        <f>I18+I20+I22-I47-I74</f>
        <v>5373425</v>
      </c>
      <c r="L75" s="160"/>
      <c r="M75" s="160"/>
      <c r="N75" s="160"/>
      <c r="O75" s="160"/>
      <c r="P75" s="190"/>
      <c r="Q75" s="160"/>
      <c r="R75" s="24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60"/>
      <c r="AU75" s="160"/>
      <c r="AV75" s="160"/>
      <c r="AW75" s="160"/>
      <c r="AX75" s="160"/>
      <c r="AY75" s="160"/>
      <c r="AZ75" s="190"/>
      <c r="BA75" s="160"/>
      <c r="BB75" s="240"/>
    </row>
    <row r="76" spans="1:54" ht="12.75" customHeight="1">
      <c r="A76" s="96" t="s">
        <v>272</v>
      </c>
      <c r="B76" s="102" t="s">
        <v>266</v>
      </c>
      <c r="C76" s="150"/>
      <c r="D76" s="150"/>
      <c r="E76" s="150"/>
      <c r="F76" s="150"/>
      <c r="G76" s="150"/>
      <c r="H76" s="150"/>
      <c r="I76" s="151"/>
      <c r="J76" s="160"/>
      <c r="K76" s="160"/>
      <c r="L76" s="160"/>
      <c r="M76" s="160"/>
      <c r="N76" s="160"/>
      <c r="O76" s="160"/>
      <c r="P76" s="190"/>
      <c r="Q76" s="160"/>
      <c r="R76" s="24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60"/>
      <c r="AU76" s="160"/>
      <c r="AV76" s="160"/>
      <c r="AW76" s="160"/>
      <c r="AX76" s="160"/>
      <c r="AY76" s="160"/>
      <c r="AZ76" s="190"/>
      <c r="BA76" s="160"/>
      <c r="BB76" s="240"/>
    </row>
    <row r="77" spans="1:54" ht="12.75" customHeight="1">
      <c r="A77" s="143" t="s">
        <v>270</v>
      </c>
      <c r="B77" s="143" t="s">
        <v>267</v>
      </c>
      <c r="C77" s="171">
        <v>18705639</v>
      </c>
      <c r="D77" s="234">
        <v>18763</v>
      </c>
      <c r="E77" s="234">
        <v>18803</v>
      </c>
      <c r="F77" s="175">
        <v>30</v>
      </c>
      <c r="G77" s="322">
        <f>E77-D77</f>
        <v>40</v>
      </c>
      <c r="H77" s="143">
        <v>1297</v>
      </c>
      <c r="I77" s="175">
        <f>F77*G77+H77</f>
        <v>2497</v>
      </c>
      <c r="J77" s="160"/>
      <c r="K77" s="160"/>
      <c r="L77" s="160"/>
      <c r="M77" s="160"/>
      <c r="N77" s="160"/>
      <c r="O77" s="160"/>
      <c r="P77" s="190"/>
      <c r="Q77" s="160"/>
      <c r="R77" s="24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60"/>
      <c r="AU77" s="160"/>
      <c r="AV77" s="160"/>
      <c r="AW77" s="160"/>
      <c r="AX77" s="160"/>
      <c r="AY77" s="160"/>
      <c r="AZ77" s="190"/>
      <c r="BA77" s="160"/>
      <c r="BB77" s="240"/>
    </row>
    <row r="78" spans="1:54" ht="12.75" customHeight="1">
      <c r="A78" s="144"/>
      <c r="B78" s="144" t="s">
        <v>268</v>
      </c>
      <c r="C78" s="169"/>
      <c r="D78" s="144"/>
      <c r="E78" s="144"/>
      <c r="F78" s="164"/>
      <c r="G78" s="144"/>
      <c r="H78" s="144"/>
      <c r="I78" s="144"/>
      <c r="J78" s="160"/>
      <c r="K78" s="160"/>
      <c r="L78" s="160"/>
      <c r="M78" s="160"/>
      <c r="N78" s="160"/>
      <c r="O78" s="160"/>
      <c r="P78" s="190"/>
      <c r="Q78" s="160"/>
      <c r="R78" s="24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60"/>
      <c r="AU78" s="160"/>
      <c r="AV78" s="160"/>
      <c r="AW78" s="160"/>
      <c r="AX78" s="160"/>
      <c r="AY78" s="160"/>
      <c r="AZ78" s="190"/>
      <c r="BA78" s="160"/>
      <c r="BB78" s="240"/>
    </row>
    <row r="79" spans="1:54" ht="12.75" customHeight="1">
      <c r="A79" s="143" t="s">
        <v>271</v>
      </c>
      <c r="B79" s="143" t="s">
        <v>269</v>
      </c>
      <c r="C79" s="171">
        <v>18705843</v>
      </c>
      <c r="D79" s="234">
        <v>1070.8</v>
      </c>
      <c r="E79" s="234">
        <v>1070.8</v>
      </c>
      <c r="F79" s="175">
        <v>30</v>
      </c>
      <c r="G79" s="233">
        <f>E79-D79</f>
        <v>0</v>
      </c>
      <c r="H79" s="143">
        <v>0</v>
      </c>
      <c r="I79" s="175">
        <f>F79*G79+H79</f>
        <v>0</v>
      </c>
      <c r="J79" s="160"/>
      <c r="K79" s="160"/>
      <c r="L79" s="160"/>
      <c r="M79" s="160"/>
      <c r="N79" s="160"/>
      <c r="O79" s="160"/>
      <c r="P79" s="190"/>
      <c r="Q79" s="160"/>
      <c r="R79" s="24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60"/>
      <c r="AU79" s="160"/>
      <c r="AV79" s="160"/>
      <c r="AW79" s="160"/>
      <c r="AX79" s="160"/>
      <c r="AY79" s="160"/>
      <c r="AZ79" s="190"/>
      <c r="BA79" s="160"/>
      <c r="BB79" s="240"/>
    </row>
    <row r="80" spans="1:54" ht="12.75" customHeight="1">
      <c r="A80" s="144"/>
      <c r="B80" s="144" t="s">
        <v>268</v>
      </c>
      <c r="C80" s="169"/>
      <c r="D80" s="144"/>
      <c r="E80" s="144"/>
      <c r="F80" s="164"/>
      <c r="G80" s="144"/>
      <c r="H80" s="144"/>
      <c r="I80" s="144"/>
      <c r="J80" s="160"/>
      <c r="K80" s="160"/>
      <c r="L80" s="160"/>
      <c r="M80" s="160"/>
      <c r="N80" s="160"/>
      <c r="O80" s="160"/>
      <c r="P80" s="190"/>
      <c r="Q80" s="160"/>
      <c r="R80" s="24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60"/>
      <c r="AU80" s="160"/>
      <c r="AV80" s="160"/>
      <c r="AW80" s="160"/>
      <c r="AX80" s="160"/>
      <c r="AY80" s="160"/>
      <c r="AZ80" s="190"/>
      <c r="BA80" s="160"/>
      <c r="BB80" s="240"/>
    </row>
    <row r="81" spans="1:54" ht="12.75" customHeight="1">
      <c r="A81" s="102"/>
      <c r="B81" s="150"/>
      <c r="C81" s="217"/>
      <c r="D81" s="199"/>
      <c r="E81" s="218"/>
      <c r="F81" s="218" t="s">
        <v>273</v>
      </c>
      <c r="G81" s="219"/>
      <c r="H81" s="151"/>
      <c r="I81" s="155">
        <f>I77+I79</f>
        <v>2497</v>
      </c>
      <c r="J81" s="243"/>
      <c r="K81" s="160"/>
      <c r="L81" s="160"/>
      <c r="M81" s="160"/>
      <c r="N81" s="160"/>
      <c r="O81" s="160"/>
      <c r="P81" s="189"/>
      <c r="Q81" s="160"/>
      <c r="R81" s="244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243"/>
      <c r="AU81" s="160"/>
      <c r="AV81" s="160"/>
      <c r="AW81" s="160"/>
      <c r="AX81" s="160"/>
      <c r="AY81" s="160"/>
      <c r="AZ81" s="189"/>
      <c r="BA81" s="160"/>
      <c r="BB81" s="244"/>
    </row>
    <row r="82" spans="1:54" ht="12.75" customHeight="1">
      <c r="A82" s="102"/>
      <c r="B82" s="150"/>
      <c r="C82" s="217"/>
      <c r="D82" s="199"/>
      <c r="E82" s="218"/>
      <c r="F82" s="218"/>
      <c r="G82" s="219" t="s">
        <v>274</v>
      </c>
      <c r="H82" s="151"/>
      <c r="I82" s="235">
        <f>I75+I81</f>
        <v>5307128</v>
      </c>
      <c r="J82" s="160"/>
      <c r="K82" s="160"/>
      <c r="L82" s="160"/>
      <c r="M82" s="160"/>
      <c r="N82" s="160"/>
      <c r="O82" s="160"/>
      <c r="P82" s="190"/>
      <c r="Q82" s="160"/>
      <c r="R82" s="24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60"/>
      <c r="AU82" s="160"/>
      <c r="AV82" s="160"/>
      <c r="AW82" s="160"/>
      <c r="AX82" s="160"/>
      <c r="AY82" s="160"/>
      <c r="AZ82" s="190"/>
      <c r="BA82" s="160"/>
      <c r="BB82" s="240"/>
    </row>
    <row r="83" spans="1:54" ht="12.75" customHeight="1">
      <c r="A83" s="145" t="s">
        <v>275</v>
      </c>
      <c r="B83" s="146"/>
      <c r="C83" s="220"/>
      <c r="D83" s="202"/>
      <c r="E83" s="221"/>
      <c r="F83" s="221"/>
      <c r="G83" s="204"/>
      <c r="H83" s="146"/>
      <c r="I83" s="205"/>
      <c r="J83" s="160"/>
      <c r="K83" s="160"/>
      <c r="L83" s="160"/>
      <c r="M83" s="160"/>
      <c r="N83" s="160"/>
      <c r="O83" s="160"/>
      <c r="P83" s="190"/>
      <c r="Q83" s="160"/>
      <c r="R83" s="24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60"/>
      <c r="AU83" s="160"/>
      <c r="AV83" s="160"/>
      <c r="AW83" s="160"/>
      <c r="AX83" s="160"/>
      <c r="AY83" s="160"/>
      <c r="AZ83" s="190"/>
      <c r="BA83" s="160"/>
      <c r="BB83" s="240"/>
    </row>
    <row r="84" spans="1:54" ht="12.75" customHeight="1">
      <c r="A84" s="222" t="s">
        <v>538</v>
      </c>
      <c r="B84" s="223"/>
      <c r="C84" s="223"/>
      <c r="D84" s="191"/>
      <c r="E84" s="148"/>
      <c r="F84" s="148"/>
      <c r="G84" s="148"/>
      <c r="H84" s="148"/>
      <c r="I84" s="209"/>
      <c r="J84" s="160"/>
      <c r="K84" s="160"/>
      <c r="L84" s="160"/>
      <c r="M84" s="160"/>
      <c r="N84" s="160"/>
      <c r="O84" s="160"/>
      <c r="P84" s="190"/>
      <c r="Q84" s="160"/>
      <c r="R84" s="24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60"/>
      <c r="AU84" s="160"/>
      <c r="AV84" s="160"/>
      <c r="AW84" s="160"/>
      <c r="AX84" s="160"/>
      <c r="AY84" s="160"/>
      <c r="AZ84" s="190"/>
      <c r="BA84" s="160"/>
      <c r="BB84" s="240"/>
    </row>
    <row r="85" spans="1:54" ht="12.75" customHeight="1">
      <c r="A85" s="160" t="s">
        <v>279</v>
      </c>
      <c r="B85" s="160"/>
      <c r="C85" s="264"/>
      <c r="D85" s="181"/>
      <c r="E85" s="265"/>
      <c r="F85" s="265"/>
      <c r="G85" s="188"/>
      <c r="H85" s="160"/>
      <c r="I85" s="190"/>
      <c r="J85" s="160"/>
      <c r="K85" s="160"/>
      <c r="L85" s="160"/>
      <c r="M85" s="160"/>
      <c r="N85" s="160"/>
      <c r="O85" s="160"/>
      <c r="P85" s="190"/>
      <c r="Q85" s="160"/>
      <c r="R85" s="24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60"/>
      <c r="AU85" s="160"/>
      <c r="AV85" s="160"/>
      <c r="AW85" s="160"/>
      <c r="AX85" s="160"/>
      <c r="AY85" s="160"/>
      <c r="AZ85" s="190"/>
      <c r="BA85" s="160"/>
      <c r="BB85" s="240"/>
    </row>
    <row r="86" spans="1:54" ht="12.75" customHeight="1">
      <c r="A86" s="160"/>
      <c r="B86" s="160"/>
      <c r="C86" s="181"/>
      <c r="D86" s="313" t="s">
        <v>280</v>
      </c>
      <c r="E86" s="313"/>
      <c r="F86" s="314"/>
      <c r="G86" s="243"/>
      <c r="H86" s="243"/>
      <c r="I86" s="189"/>
      <c r="J86" s="160"/>
      <c r="K86" s="160"/>
      <c r="L86" s="188"/>
      <c r="M86" s="188"/>
      <c r="N86" s="160"/>
      <c r="O86" s="160"/>
      <c r="P86" s="190"/>
      <c r="Q86" s="160"/>
      <c r="R86" s="24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60"/>
      <c r="AU86" s="160"/>
      <c r="AV86" s="188"/>
      <c r="AW86" s="188"/>
      <c r="AX86" s="160"/>
      <c r="AY86" s="160"/>
      <c r="AZ86" s="190"/>
      <c r="BA86" s="160"/>
      <c r="BB86" s="240"/>
    </row>
    <row r="87" spans="1:54" ht="12.75" customHeight="1">
      <c r="A87" s="160"/>
      <c r="B87" s="160"/>
      <c r="C87" s="181"/>
      <c r="D87" s="313" t="s">
        <v>531</v>
      </c>
      <c r="E87" s="313"/>
      <c r="F87" s="314"/>
      <c r="G87" s="243"/>
      <c r="H87" s="243"/>
      <c r="I87" s="189"/>
      <c r="J87" s="243"/>
      <c r="K87" s="160"/>
      <c r="L87" s="160"/>
      <c r="M87" s="160"/>
      <c r="N87" s="160"/>
      <c r="O87" s="160"/>
      <c r="P87" s="189"/>
      <c r="Q87" s="160"/>
      <c r="R87" s="244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243"/>
      <c r="AU87" s="160"/>
      <c r="AV87" s="160"/>
      <c r="AW87" s="160"/>
      <c r="AX87" s="160"/>
      <c r="AY87" s="160"/>
      <c r="AZ87" s="189"/>
      <c r="BA87" s="160"/>
      <c r="BB87" s="244"/>
    </row>
    <row r="88" spans="1:54" ht="12.75" customHeight="1">
      <c r="A88" s="160"/>
      <c r="B88" s="160"/>
      <c r="C88" s="264"/>
      <c r="D88" s="313" t="s">
        <v>539</v>
      </c>
      <c r="E88" s="313"/>
      <c r="F88" s="314"/>
      <c r="G88" s="243"/>
      <c r="H88" s="243"/>
      <c r="I88" s="189"/>
      <c r="J88" s="160"/>
      <c r="K88" s="160"/>
      <c r="L88" s="160"/>
      <c r="M88" s="160"/>
      <c r="N88" s="160"/>
      <c r="O88" s="160"/>
      <c r="P88" s="190"/>
      <c r="Q88" s="160"/>
      <c r="R88" s="24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60"/>
      <c r="AU88" s="160"/>
      <c r="AV88" s="160"/>
      <c r="AW88" s="160"/>
      <c r="AX88" s="160"/>
      <c r="AY88" s="160"/>
      <c r="AZ88" s="190"/>
      <c r="BA88" s="160"/>
      <c r="BB88" s="240"/>
    </row>
    <row r="89" spans="1:54" ht="12.75" customHeight="1">
      <c r="A89" s="120"/>
      <c r="B89" s="120"/>
      <c r="C89" s="120"/>
      <c r="D89" s="120" t="s">
        <v>192</v>
      </c>
      <c r="E89" s="120"/>
      <c r="F89" s="120"/>
      <c r="G89" s="120"/>
      <c r="H89" s="120"/>
      <c r="I89" s="120"/>
      <c r="J89" s="160"/>
      <c r="K89" s="160"/>
      <c r="L89" s="160"/>
      <c r="M89" s="160"/>
      <c r="N89" s="160"/>
      <c r="O89" s="160"/>
      <c r="P89" s="190"/>
      <c r="Q89" s="160"/>
      <c r="R89" s="24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60" t="s">
        <v>530</v>
      </c>
      <c r="AU89" s="120"/>
      <c r="AV89" s="120"/>
      <c r="AW89" s="120"/>
      <c r="AX89" s="120"/>
      <c r="AY89" s="120"/>
      <c r="AZ89" s="120"/>
      <c r="BA89" s="120"/>
      <c r="BB89" s="120"/>
    </row>
    <row r="90" spans="1:54" ht="12.75" customHeight="1">
      <c r="A90" s="120"/>
      <c r="B90" s="120"/>
      <c r="C90" s="120"/>
      <c r="D90" s="120" t="s">
        <v>193</v>
      </c>
      <c r="E90" s="120"/>
      <c r="F90" s="120"/>
      <c r="G90" s="120"/>
      <c r="H90" s="120"/>
      <c r="I90" s="120"/>
      <c r="J90" s="243"/>
      <c r="K90" s="160"/>
      <c r="L90" s="160"/>
      <c r="M90" s="160"/>
      <c r="N90" s="160"/>
      <c r="O90" s="160"/>
      <c r="P90" s="189"/>
      <c r="Q90" s="160"/>
      <c r="R90" s="244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60" t="s">
        <v>535</v>
      </c>
      <c r="AU90" s="120"/>
      <c r="AV90" s="120"/>
      <c r="AW90" s="120"/>
      <c r="AX90" s="120"/>
      <c r="AY90" s="120"/>
      <c r="AZ90" s="120"/>
      <c r="BA90" s="120"/>
      <c r="BB90" s="120"/>
    </row>
    <row r="91" spans="1:54" ht="12.75" customHeight="1">
      <c r="A91" s="120"/>
      <c r="B91" s="120"/>
      <c r="C91" s="120"/>
      <c r="D91" s="120"/>
      <c r="E91" s="120"/>
      <c r="F91" s="120"/>
      <c r="G91" s="120"/>
      <c r="H91" s="120"/>
      <c r="I91" s="120"/>
      <c r="J91" s="243"/>
      <c r="K91" s="160"/>
      <c r="L91" s="160"/>
      <c r="M91" s="160"/>
      <c r="N91" s="160"/>
      <c r="O91" s="160"/>
      <c r="P91" s="189"/>
      <c r="Q91" s="160"/>
      <c r="R91" s="244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60"/>
      <c r="AU91" s="120" t="s">
        <v>4</v>
      </c>
      <c r="AV91" s="120"/>
      <c r="AW91" s="120"/>
      <c r="AX91" s="120"/>
      <c r="AY91" s="254" t="s">
        <v>386</v>
      </c>
      <c r="AZ91" s="196" t="s">
        <v>557</v>
      </c>
      <c r="BA91" s="120"/>
      <c r="BB91" s="120"/>
    </row>
    <row r="92" spans="1:54" ht="12.75" customHeight="1">
      <c r="A92" s="120"/>
      <c r="B92" s="120"/>
      <c r="C92" s="120" t="s">
        <v>194</v>
      </c>
      <c r="D92" s="120"/>
      <c r="E92" s="120"/>
      <c r="F92" s="120"/>
      <c r="G92" s="120"/>
      <c r="H92" s="120"/>
      <c r="I92" s="120"/>
      <c r="J92" s="243"/>
      <c r="K92" s="160"/>
      <c r="L92" s="160"/>
      <c r="M92" s="160"/>
      <c r="N92" s="160"/>
      <c r="O92" s="160"/>
      <c r="P92" s="189"/>
      <c r="Q92" s="160"/>
      <c r="R92" s="244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50" t="s">
        <v>108</v>
      </c>
      <c r="AU92" s="150"/>
      <c r="AV92" s="150"/>
      <c r="AW92" s="150"/>
      <c r="AX92" s="150"/>
      <c r="AY92" s="151"/>
      <c r="AZ92" s="96" t="s">
        <v>175</v>
      </c>
      <c r="BA92" s="96"/>
      <c r="BB92" s="96" t="s">
        <v>109</v>
      </c>
    </row>
    <row r="93" spans="1:54" ht="12.75" customHeight="1">
      <c r="A93" s="120"/>
      <c r="B93" s="120"/>
      <c r="C93" s="120"/>
      <c r="D93" s="277" t="s">
        <v>582</v>
      </c>
      <c r="E93" s="277"/>
      <c r="F93" s="120"/>
      <c r="G93" s="120"/>
      <c r="H93" s="120"/>
      <c r="I93" s="120"/>
      <c r="J93" s="243"/>
      <c r="K93" s="160"/>
      <c r="L93" s="160"/>
      <c r="M93" s="160"/>
      <c r="N93" s="160"/>
      <c r="O93" s="160"/>
      <c r="P93" s="189"/>
      <c r="Q93" s="160"/>
      <c r="R93" s="244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273" t="s">
        <v>301</v>
      </c>
      <c r="AU93" s="150"/>
      <c r="AV93" s="150"/>
      <c r="AW93" s="150"/>
      <c r="AX93" s="150"/>
      <c r="AY93" s="151"/>
      <c r="AZ93" s="235">
        <v>42331</v>
      </c>
      <c r="BA93" s="199"/>
      <c r="BB93" s="299">
        <f>AZ93*BB58</f>
        <v>161651.27252023894</v>
      </c>
    </row>
    <row r="94" spans="1:54" ht="12.75" customHeight="1">
      <c r="A94" s="120" t="s">
        <v>528</v>
      </c>
      <c r="B94" s="120"/>
      <c r="C94" s="120"/>
      <c r="D94" s="120"/>
      <c r="E94" s="120"/>
      <c r="F94" s="120"/>
      <c r="G94" s="120"/>
      <c r="H94" s="120"/>
      <c r="I94" s="120"/>
      <c r="J94" s="243"/>
      <c r="K94" s="160"/>
      <c r="L94" s="160"/>
      <c r="M94" s="160"/>
      <c r="N94" s="160"/>
      <c r="O94" s="160"/>
      <c r="P94" s="189"/>
      <c r="Q94" s="160"/>
      <c r="R94" s="244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273" t="s">
        <v>300</v>
      </c>
      <c r="AU94" s="150"/>
      <c r="AV94" s="150"/>
      <c r="AW94" s="150"/>
      <c r="AX94" s="150"/>
      <c r="AY94" s="151"/>
      <c r="AZ94" s="235">
        <f>AZ131-SUM(AZ112:AZ120)-AZ109-AZ103-AZ96-AZ95-AZ93</f>
        <v>4414530</v>
      </c>
      <c r="BA94" s="199"/>
      <c r="BB94" s="299">
        <f>AZ94*BB58</f>
        <v>16857962.062761817</v>
      </c>
    </row>
    <row r="95" spans="1:54" ht="12.75" customHeight="1">
      <c r="A95" s="120" t="s">
        <v>196</v>
      </c>
      <c r="B95" s="120"/>
      <c r="C95" s="120"/>
      <c r="D95" s="120"/>
      <c r="E95" s="120"/>
      <c r="F95" s="120"/>
      <c r="G95" s="120"/>
      <c r="H95" s="120"/>
      <c r="I95" s="120"/>
      <c r="J95" s="243"/>
      <c r="K95" s="243"/>
      <c r="L95" s="160"/>
      <c r="M95" s="160"/>
      <c r="N95" s="160"/>
      <c r="O95" s="160"/>
      <c r="P95" s="189"/>
      <c r="Q95" s="160"/>
      <c r="R95" s="244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273" t="s">
        <v>537</v>
      </c>
      <c r="AU95" s="150"/>
      <c r="AV95" s="150"/>
      <c r="AW95" s="150"/>
      <c r="AX95" s="150"/>
      <c r="AY95" s="151"/>
      <c r="AZ95" s="235">
        <v>122468</v>
      </c>
      <c r="BA95" s="199"/>
      <c r="BB95" s="299">
        <f>AZ95*BB58</f>
        <v>467673.9987954129</v>
      </c>
    </row>
    <row r="96" spans="1:54" ht="12.75" customHeight="1">
      <c r="A96" s="120" t="s">
        <v>198</v>
      </c>
      <c r="B96" s="120"/>
      <c r="C96" s="120"/>
      <c r="D96" s="120"/>
      <c r="E96" s="120"/>
      <c r="F96" s="120" t="s">
        <v>197</v>
      </c>
      <c r="G96" s="120"/>
      <c r="H96" s="120"/>
      <c r="I96" s="120"/>
      <c r="J96" s="243"/>
      <c r="K96" s="243"/>
      <c r="L96" s="160"/>
      <c r="M96" s="160"/>
      <c r="N96" s="160"/>
      <c r="O96" s="160"/>
      <c r="P96" s="189"/>
      <c r="Q96" s="160"/>
      <c r="R96" s="244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255" t="s">
        <v>85</v>
      </c>
      <c r="AU96" s="146"/>
      <c r="AV96" s="146"/>
      <c r="AW96" s="146"/>
      <c r="AX96" s="146"/>
      <c r="AY96" s="147"/>
      <c r="AZ96" s="300">
        <f>SUM(AZ97:AZ102)</f>
        <v>600478</v>
      </c>
      <c r="BA96" s="202"/>
      <c r="BB96" s="299">
        <f>AZ96*BB58</f>
        <v>2293072.046972858</v>
      </c>
    </row>
    <row r="97" spans="1:54" ht="12.75" customHeight="1">
      <c r="A97" s="143" t="s">
        <v>335</v>
      </c>
      <c r="B97" s="171" t="s">
        <v>199</v>
      </c>
      <c r="C97" s="143" t="s">
        <v>200</v>
      </c>
      <c r="D97" s="224" t="s">
        <v>286</v>
      </c>
      <c r="E97" s="225"/>
      <c r="F97" s="143" t="s">
        <v>201</v>
      </c>
      <c r="G97" s="143" t="s">
        <v>404</v>
      </c>
      <c r="H97" s="143" t="s">
        <v>202</v>
      </c>
      <c r="I97" s="143" t="s">
        <v>191</v>
      </c>
      <c r="J97" s="243"/>
      <c r="K97" s="243"/>
      <c r="L97" s="160"/>
      <c r="M97" s="160"/>
      <c r="N97" s="160"/>
      <c r="O97" s="160"/>
      <c r="P97" s="189"/>
      <c r="Q97" s="160"/>
      <c r="R97" s="244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59" t="s">
        <v>87</v>
      </c>
      <c r="AU97" s="160"/>
      <c r="AV97" s="160"/>
      <c r="AW97" s="160"/>
      <c r="AX97" s="160"/>
      <c r="AY97" s="161"/>
      <c r="AZ97" s="163">
        <v>123405</v>
      </c>
      <c r="BA97" s="181"/>
      <c r="BB97" s="299">
        <f>AZ97*BB58</f>
        <v>471252.1623717863</v>
      </c>
    </row>
    <row r="98" spans="1:54" ht="12.75" customHeight="1">
      <c r="A98" s="173"/>
      <c r="B98" s="173"/>
      <c r="C98" s="173"/>
      <c r="D98" s="143" t="s">
        <v>203</v>
      </c>
      <c r="E98" s="145" t="s">
        <v>204</v>
      </c>
      <c r="F98" s="173" t="s">
        <v>205</v>
      </c>
      <c r="G98" s="173" t="s">
        <v>190</v>
      </c>
      <c r="H98" s="173"/>
      <c r="I98" s="173" t="s">
        <v>206</v>
      </c>
      <c r="J98" s="243"/>
      <c r="K98" s="243"/>
      <c r="L98" s="160"/>
      <c r="M98" s="160"/>
      <c r="N98" s="160"/>
      <c r="O98" s="160"/>
      <c r="P98" s="189"/>
      <c r="Q98" s="160"/>
      <c r="R98" s="244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59" t="s">
        <v>88</v>
      </c>
      <c r="AU98" s="160"/>
      <c r="AV98" s="160"/>
      <c r="AW98" s="160"/>
      <c r="AX98" s="160"/>
      <c r="AY98" s="161"/>
      <c r="AZ98" s="163">
        <v>342800</v>
      </c>
      <c r="BA98" s="181"/>
      <c r="BB98" s="299">
        <f>AZ98*BB58</f>
        <v>1309065.6072367274</v>
      </c>
    </row>
    <row r="99" spans="1:54" ht="12.75" customHeight="1">
      <c r="A99" s="144"/>
      <c r="B99" s="144"/>
      <c r="C99" s="144"/>
      <c r="D99" s="144" t="s">
        <v>207</v>
      </c>
      <c r="E99" s="103" t="s">
        <v>207</v>
      </c>
      <c r="F99" s="144" t="s">
        <v>208</v>
      </c>
      <c r="G99" s="144"/>
      <c r="H99" s="144"/>
      <c r="I99" s="144"/>
      <c r="J99" s="160"/>
      <c r="K99" s="160"/>
      <c r="L99" s="160"/>
      <c r="M99" s="160"/>
      <c r="N99" s="160"/>
      <c r="O99" s="160"/>
      <c r="P99" s="189"/>
      <c r="Q99" s="160"/>
      <c r="R99" s="244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59" t="s">
        <v>89</v>
      </c>
      <c r="AU99" s="160"/>
      <c r="AV99" s="160"/>
      <c r="AW99" s="160"/>
      <c r="AX99" s="160"/>
      <c r="AY99" s="161"/>
      <c r="AZ99" s="163">
        <v>131307</v>
      </c>
      <c r="BA99" s="181"/>
      <c r="BB99" s="299">
        <f>AZ99*BB58</f>
        <v>501427.881241053</v>
      </c>
    </row>
    <row r="100" spans="1:54" ht="12.75" customHeight="1">
      <c r="A100" s="152">
        <v>1</v>
      </c>
      <c r="B100" s="152">
        <v>2</v>
      </c>
      <c r="C100" s="152">
        <v>3</v>
      </c>
      <c r="D100" s="152">
        <v>4</v>
      </c>
      <c r="E100" s="152">
        <v>5</v>
      </c>
      <c r="F100" s="152">
        <v>6</v>
      </c>
      <c r="G100" s="152">
        <v>7</v>
      </c>
      <c r="H100" s="152">
        <v>8</v>
      </c>
      <c r="I100" s="152">
        <v>9</v>
      </c>
      <c r="J100" s="160"/>
      <c r="K100" s="160"/>
      <c r="L100" s="160"/>
      <c r="M100" s="160"/>
      <c r="N100" s="160"/>
      <c r="O100" s="160"/>
      <c r="P100" s="189"/>
      <c r="Q100" s="160"/>
      <c r="R100" s="244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59" t="s">
        <v>90</v>
      </c>
      <c r="AU100" s="160"/>
      <c r="AV100" s="160"/>
      <c r="AW100" s="160"/>
      <c r="AX100" s="160"/>
      <c r="AY100" s="161"/>
      <c r="AZ100" s="163">
        <v>200</v>
      </c>
      <c r="BA100" s="181"/>
      <c r="BB100" s="299">
        <f>AZ100*BB58</f>
        <v>763.7488957040417</v>
      </c>
    </row>
    <row r="101" spans="1:54" ht="12.75" customHeight="1">
      <c r="A101" s="103"/>
      <c r="B101" s="148"/>
      <c r="C101" s="320" t="s">
        <v>287</v>
      </c>
      <c r="D101" s="320"/>
      <c r="E101" s="148"/>
      <c r="F101" s="148"/>
      <c r="G101" s="148"/>
      <c r="H101" s="148"/>
      <c r="I101" s="149"/>
      <c r="J101" s="160"/>
      <c r="K101" s="160"/>
      <c r="L101" s="160"/>
      <c r="M101" s="160"/>
      <c r="N101" s="160"/>
      <c r="O101" s="160"/>
      <c r="P101" s="189"/>
      <c r="Q101" s="160"/>
      <c r="R101" s="244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59" t="s">
        <v>91</v>
      </c>
      <c r="AU101" s="160"/>
      <c r="AV101" s="160"/>
      <c r="AW101" s="160"/>
      <c r="AX101" s="160"/>
      <c r="AY101" s="161"/>
      <c r="AZ101" s="163">
        <v>1766</v>
      </c>
      <c r="BA101" s="181"/>
      <c r="BB101" s="299">
        <f>AZ101*BB58</f>
        <v>6743.902749066689</v>
      </c>
    </row>
    <row r="102" spans="1:54" ht="12.75" customHeight="1">
      <c r="A102" s="96"/>
      <c r="B102" s="102" t="s">
        <v>526</v>
      </c>
      <c r="C102" s="150"/>
      <c r="D102" s="150"/>
      <c r="E102" s="150"/>
      <c r="F102" s="150"/>
      <c r="G102" s="150"/>
      <c r="H102" s="150"/>
      <c r="I102" s="151"/>
      <c r="J102" s="160"/>
      <c r="K102" s="160"/>
      <c r="L102" s="160"/>
      <c r="M102" s="160"/>
      <c r="N102" s="160"/>
      <c r="O102" s="160"/>
      <c r="P102" s="189"/>
      <c r="Q102" s="160"/>
      <c r="R102" s="244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03" t="s">
        <v>41</v>
      </c>
      <c r="AU102" s="148"/>
      <c r="AV102" s="148"/>
      <c r="AW102" s="148"/>
      <c r="AX102" s="148"/>
      <c r="AY102" s="149"/>
      <c r="AZ102" s="164">
        <v>1000</v>
      </c>
      <c r="BA102" s="191"/>
      <c r="BB102" s="299">
        <f>AZ102*BB58</f>
        <v>3818.7444785202083</v>
      </c>
    </row>
    <row r="103" spans="1:54" ht="12.75" customHeight="1">
      <c r="A103" s="171">
        <v>1</v>
      </c>
      <c r="B103" s="143" t="s">
        <v>249</v>
      </c>
      <c r="C103" s="197">
        <v>804152757</v>
      </c>
      <c r="D103" s="230">
        <v>2219.143</v>
      </c>
      <c r="E103" s="230">
        <v>2271.6043</v>
      </c>
      <c r="F103" s="155">
        <v>36000</v>
      </c>
      <c r="G103" s="252">
        <f>E103-D103</f>
        <v>52.46129999999994</v>
      </c>
      <c r="H103" s="96"/>
      <c r="I103" s="155">
        <f>F103*G103+H103</f>
        <v>1888606.7999999977</v>
      </c>
      <c r="J103" s="160"/>
      <c r="K103" s="160"/>
      <c r="L103" s="160"/>
      <c r="M103" s="160"/>
      <c r="N103" s="160"/>
      <c r="O103" s="160"/>
      <c r="P103" s="189"/>
      <c r="Q103" s="160"/>
      <c r="R103" s="244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255" t="s">
        <v>303</v>
      </c>
      <c r="AU103" s="146"/>
      <c r="AV103" s="146"/>
      <c r="AW103" s="146"/>
      <c r="AX103" s="146"/>
      <c r="AY103" s="147"/>
      <c r="AZ103" s="300">
        <f>SUM(AZ104:AZ108)</f>
        <v>11196</v>
      </c>
      <c r="BA103" s="202"/>
      <c r="BB103" s="299">
        <f>AZ103*BB58</f>
        <v>42754.66318151225</v>
      </c>
    </row>
    <row r="104" spans="1:54" ht="12.75" customHeight="1">
      <c r="A104" s="144"/>
      <c r="B104" s="103" t="s">
        <v>250</v>
      </c>
      <c r="C104" s="213">
        <v>109054169</v>
      </c>
      <c r="D104" s="230">
        <v>2769.6612</v>
      </c>
      <c r="E104" s="230">
        <v>2820.6908</v>
      </c>
      <c r="F104" s="155">
        <v>36000</v>
      </c>
      <c r="G104" s="252">
        <f>E104-D104</f>
        <v>51.029599999999846</v>
      </c>
      <c r="H104" s="96"/>
      <c r="I104" s="155">
        <f>F104*G104+H104</f>
        <v>1837065.5999999945</v>
      </c>
      <c r="J104" s="160"/>
      <c r="K104" s="160"/>
      <c r="L104" s="188"/>
      <c r="M104" s="188"/>
      <c r="N104" s="160"/>
      <c r="O104" s="160"/>
      <c r="P104" s="189"/>
      <c r="Q104" s="160"/>
      <c r="R104" s="244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59"/>
      <c r="AU104" s="160" t="s">
        <v>389</v>
      </c>
      <c r="AV104" s="160"/>
      <c r="AW104" s="160"/>
      <c r="AX104" s="160"/>
      <c r="AY104" s="161"/>
      <c r="AZ104" s="163">
        <v>2080</v>
      </c>
      <c r="BA104" s="181"/>
      <c r="BB104" s="299">
        <f>AZ104*BB58</f>
        <v>7942.988515322034</v>
      </c>
    </row>
    <row r="105" spans="1:54" ht="12.75" customHeight="1">
      <c r="A105" s="102"/>
      <c r="B105" s="150"/>
      <c r="C105" s="148"/>
      <c r="D105" s="150"/>
      <c r="E105" s="150"/>
      <c r="F105" s="214" t="s">
        <v>212</v>
      </c>
      <c r="G105" s="150"/>
      <c r="H105" s="151"/>
      <c r="I105" s="155">
        <f>I103+I104</f>
        <v>3725672.399999992</v>
      </c>
      <c r="J105" s="160"/>
      <c r="K105" s="160"/>
      <c r="L105" s="160"/>
      <c r="M105" s="160"/>
      <c r="N105" s="160"/>
      <c r="O105" s="160"/>
      <c r="P105" s="190"/>
      <c r="Q105" s="160"/>
      <c r="R105" s="16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59" t="s">
        <v>385</v>
      </c>
      <c r="AU105" s="160"/>
      <c r="AV105" s="160" t="s">
        <v>304</v>
      </c>
      <c r="AW105" s="160"/>
      <c r="AX105" s="160"/>
      <c r="AY105" s="161"/>
      <c r="AZ105" s="163">
        <v>4640</v>
      </c>
      <c r="BA105" s="181"/>
      <c r="BB105" s="299">
        <f>AZ105*BB58</f>
        <v>17718.974380333766</v>
      </c>
    </row>
    <row r="106" spans="1:54" ht="12.75" customHeight="1">
      <c r="A106" s="96" t="s">
        <v>213</v>
      </c>
      <c r="B106" s="102" t="s">
        <v>214</v>
      </c>
      <c r="C106" s="150"/>
      <c r="D106" s="150"/>
      <c r="E106" s="150"/>
      <c r="F106" s="150"/>
      <c r="G106" s="150"/>
      <c r="H106" s="150"/>
      <c r="I106" s="151"/>
      <c r="J106" s="160"/>
      <c r="K106" s="160"/>
      <c r="L106" s="160"/>
      <c r="M106" s="160"/>
      <c r="N106" s="160"/>
      <c r="O106" s="160"/>
      <c r="P106" s="190"/>
      <c r="Q106" s="160"/>
      <c r="R106" s="16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59" t="s">
        <v>385</v>
      </c>
      <c r="AU106" s="160"/>
      <c r="AV106" s="160" t="s">
        <v>390</v>
      </c>
      <c r="AW106" s="160"/>
      <c r="AX106" s="160"/>
      <c r="AY106" s="161"/>
      <c r="AZ106" s="163">
        <v>50</v>
      </c>
      <c r="BA106" s="181"/>
      <c r="BB106" s="299">
        <f>AZ106*BB58</f>
        <v>190.93722392601043</v>
      </c>
    </row>
    <row r="107" spans="1:54" ht="12.75" customHeight="1">
      <c r="A107" s="96" t="s">
        <v>215</v>
      </c>
      <c r="B107" s="96" t="s">
        <v>216</v>
      </c>
      <c r="C107" s="213">
        <v>109053225</v>
      </c>
      <c r="D107" s="230">
        <v>7387.9481</v>
      </c>
      <c r="E107" s="230">
        <v>7445.5402</v>
      </c>
      <c r="F107" s="155">
        <v>21000</v>
      </c>
      <c r="G107" s="252">
        <f>E107-D107</f>
        <v>57.592100000000755</v>
      </c>
      <c r="H107" s="96"/>
      <c r="I107" s="155">
        <f>F107*G107+H107</f>
        <v>1209434.100000016</v>
      </c>
      <c r="J107" s="160"/>
      <c r="K107" s="160"/>
      <c r="L107" s="160"/>
      <c r="M107" s="160"/>
      <c r="N107" s="160"/>
      <c r="O107" s="160"/>
      <c r="P107" s="190"/>
      <c r="Q107" s="160"/>
      <c r="R107" s="16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60"/>
      <c r="AU107" s="160"/>
      <c r="AV107" s="160" t="s">
        <v>391</v>
      </c>
      <c r="AW107" s="160"/>
      <c r="AX107" s="160"/>
      <c r="AY107" s="160"/>
      <c r="AZ107" s="163">
        <v>160</v>
      </c>
      <c r="BA107" s="168"/>
      <c r="BB107" s="299">
        <f>AZ107*BB58</f>
        <v>610.9991165632333</v>
      </c>
    </row>
    <row r="108" spans="1:54" ht="12.75" customHeight="1">
      <c r="A108" s="96" t="s">
        <v>521</v>
      </c>
      <c r="B108" s="150" t="s">
        <v>524</v>
      </c>
      <c r="C108" s="148"/>
      <c r="D108" s="150"/>
      <c r="E108" s="150"/>
      <c r="F108" s="214"/>
      <c r="G108" s="150"/>
      <c r="H108" s="151"/>
      <c r="I108" s="155"/>
      <c r="J108" s="160"/>
      <c r="K108" s="160"/>
      <c r="L108" s="160"/>
      <c r="M108" s="160"/>
      <c r="N108" s="160"/>
      <c r="O108" s="160"/>
      <c r="P108" s="190"/>
      <c r="Q108" s="160"/>
      <c r="R108" s="16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03" t="s">
        <v>155</v>
      </c>
      <c r="AU108" s="148"/>
      <c r="AV108" s="208"/>
      <c r="AW108" s="208"/>
      <c r="AX108" s="148"/>
      <c r="AY108" s="149"/>
      <c r="AZ108" s="164">
        <v>4266</v>
      </c>
      <c r="BA108" s="191"/>
      <c r="BB108" s="299">
        <f>AZ108*BB58</f>
        <v>16290.763945367209</v>
      </c>
    </row>
    <row r="109" spans="1:54" ht="12.75" customHeight="1">
      <c r="A109" s="96" t="s">
        <v>522</v>
      </c>
      <c r="B109" s="102" t="s">
        <v>525</v>
      </c>
      <c r="C109" s="150"/>
      <c r="D109" s="150"/>
      <c r="E109" s="150"/>
      <c r="F109" s="150"/>
      <c r="G109" s="150"/>
      <c r="H109" s="151"/>
      <c r="I109" s="280"/>
      <c r="J109" s="160"/>
      <c r="K109" s="160"/>
      <c r="L109" s="160"/>
      <c r="M109" s="160"/>
      <c r="N109" s="160"/>
      <c r="O109" s="160"/>
      <c r="P109" s="190"/>
      <c r="Q109" s="160"/>
      <c r="R109" s="244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255" t="s">
        <v>536</v>
      </c>
      <c r="AU109" s="146"/>
      <c r="AV109" s="146"/>
      <c r="AW109" s="146"/>
      <c r="AX109" s="146"/>
      <c r="AY109" s="147"/>
      <c r="AZ109" s="300">
        <f>AZ110+AZ111</f>
        <v>38162</v>
      </c>
      <c r="BA109" s="202"/>
      <c r="BB109" s="299">
        <f>AZ109*BB58</f>
        <v>145730.9267892882</v>
      </c>
    </row>
    <row r="110" spans="1:54" ht="12.75" customHeight="1">
      <c r="A110" s="102" t="s">
        <v>523</v>
      </c>
      <c r="B110" s="102"/>
      <c r="C110" s="371"/>
      <c r="D110" s="372"/>
      <c r="E110" s="372"/>
      <c r="F110" s="373"/>
      <c r="G110" s="374"/>
      <c r="H110" s="151"/>
      <c r="I110" s="280"/>
      <c r="J110" s="160"/>
      <c r="K110" s="160"/>
      <c r="L110" s="160"/>
      <c r="M110" s="160"/>
      <c r="N110" s="160"/>
      <c r="O110" s="160"/>
      <c r="P110" s="190"/>
      <c r="Q110" s="160"/>
      <c r="R110" s="16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59" t="s">
        <v>93</v>
      </c>
      <c r="AU110" s="160"/>
      <c r="AV110" s="160"/>
      <c r="AW110" s="160"/>
      <c r="AX110" s="160"/>
      <c r="AY110" s="161"/>
      <c r="AZ110" s="163">
        <v>4921</v>
      </c>
      <c r="BA110" s="181"/>
      <c r="BB110" s="299">
        <f>AZ110*BB58</f>
        <v>18792.041578797947</v>
      </c>
    </row>
    <row r="111" spans="1:54" ht="12.75" customHeight="1">
      <c r="A111" s="96" t="s">
        <v>219</v>
      </c>
      <c r="B111" s="102" t="s">
        <v>220</v>
      </c>
      <c r="C111" s="150"/>
      <c r="D111" s="150"/>
      <c r="E111" s="150"/>
      <c r="F111" s="150"/>
      <c r="G111" s="150"/>
      <c r="H111" s="150"/>
      <c r="I111" s="151"/>
      <c r="J111" s="160"/>
      <c r="K111" s="160"/>
      <c r="L111" s="160"/>
      <c r="M111" s="160"/>
      <c r="N111" s="160"/>
      <c r="O111" s="160"/>
      <c r="P111" s="160"/>
      <c r="Q111" s="160"/>
      <c r="R111" s="16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03" t="s">
        <v>94</v>
      </c>
      <c r="AU111" s="148"/>
      <c r="AV111" s="148"/>
      <c r="AW111" s="148"/>
      <c r="AX111" s="148"/>
      <c r="AY111" s="149"/>
      <c r="AZ111" s="164">
        <v>33241</v>
      </c>
      <c r="BA111" s="191"/>
      <c r="BB111" s="299">
        <f>AZ111*BB58</f>
        <v>126938.88521049025</v>
      </c>
    </row>
    <row r="112" spans="1:54" ht="12.75" customHeight="1">
      <c r="A112" s="143" t="s">
        <v>221</v>
      </c>
      <c r="B112" s="143" t="s">
        <v>224</v>
      </c>
      <c r="C112" s="197"/>
      <c r="D112" s="171"/>
      <c r="E112" s="171"/>
      <c r="F112" s="175"/>
      <c r="G112" s="171"/>
      <c r="H112" s="171"/>
      <c r="I112" s="171"/>
      <c r="J112" s="160"/>
      <c r="K112" s="160"/>
      <c r="L112" s="160"/>
      <c r="M112" s="160"/>
      <c r="N112" s="160"/>
      <c r="O112" s="160"/>
      <c r="P112" s="160"/>
      <c r="Q112" s="160"/>
      <c r="R112" s="16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273" t="s">
        <v>392</v>
      </c>
      <c r="AU112" s="150"/>
      <c r="AV112" s="150"/>
      <c r="AW112" s="150"/>
      <c r="AX112" s="150"/>
      <c r="AY112" s="151"/>
      <c r="AZ112" s="235">
        <v>9800</v>
      </c>
      <c r="BA112" s="199"/>
      <c r="BB112" s="299">
        <f>AZ112*BB58</f>
        <v>37423.69588949804</v>
      </c>
    </row>
    <row r="113" spans="1:54" ht="12.75" customHeight="1">
      <c r="A113" s="144"/>
      <c r="B113" s="144" t="s">
        <v>222</v>
      </c>
      <c r="C113" s="198">
        <v>109056121</v>
      </c>
      <c r="D113" s="323">
        <v>6450.7104</v>
      </c>
      <c r="E113" s="323">
        <v>6477.8772</v>
      </c>
      <c r="F113" s="164">
        <v>4800</v>
      </c>
      <c r="G113" s="324">
        <f aca="true" t="shared" si="2" ref="G113:G132">E113-D113</f>
        <v>27.166799999999967</v>
      </c>
      <c r="H113" s="164"/>
      <c r="I113" s="164">
        <f>F113*G113+H113</f>
        <v>130400.63999999984</v>
      </c>
      <c r="J113" s="160"/>
      <c r="K113" s="160"/>
      <c r="L113" s="160"/>
      <c r="M113" s="160"/>
      <c r="N113" s="160"/>
      <c r="O113" s="160"/>
      <c r="P113" s="160"/>
      <c r="Q113" s="160"/>
      <c r="R113" s="16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273" t="s">
        <v>154</v>
      </c>
      <c r="AU113" s="150"/>
      <c r="AV113" s="150"/>
      <c r="AW113" s="150"/>
      <c r="AX113" s="150"/>
      <c r="AY113" s="151"/>
      <c r="AZ113" s="235">
        <v>17796</v>
      </c>
      <c r="BA113" s="199"/>
      <c r="BB113" s="299">
        <f>AZ113*BB58</f>
        <v>67958.37673974562</v>
      </c>
    </row>
    <row r="114" spans="1:54" ht="12.75" customHeight="1">
      <c r="A114" s="143" t="s">
        <v>223</v>
      </c>
      <c r="B114" s="143" t="s">
        <v>235</v>
      </c>
      <c r="C114" s="197">
        <v>623125232</v>
      </c>
      <c r="D114" s="325">
        <v>3004.4408</v>
      </c>
      <c r="E114" s="325">
        <v>3004.4408</v>
      </c>
      <c r="F114" s="175">
        <v>1800</v>
      </c>
      <c r="G114" s="326">
        <f t="shared" si="2"/>
        <v>0</v>
      </c>
      <c r="H114" s="171"/>
      <c r="I114" s="175">
        <f>G114*F114</f>
        <v>0</v>
      </c>
      <c r="J114" s="160"/>
      <c r="K114" s="160"/>
      <c r="L114" s="160"/>
      <c r="M114" s="160"/>
      <c r="N114" s="160"/>
      <c r="O114" s="160"/>
      <c r="P114" s="160"/>
      <c r="Q114" s="160"/>
      <c r="R114" s="16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273" t="s">
        <v>362</v>
      </c>
      <c r="AU114" s="150"/>
      <c r="AV114" s="150"/>
      <c r="AW114" s="150"/>
      <c r="AX114" s="150"/>
      <c r="AY114" s="151"/>
      <c r="AZ114" s="235">
        <v>13349</v>
      </c>
      <c r="BA114" s="199"/>
      <c r="BB114" s="299">
        <f>AZ114*BB58</f>
        <v>50976.420043766266</v>
      </c>
    </row>
    <row r="115" spans="1:54" ht="12.75" customHeight="1">
      <c r="A115" s="144"/>
      <c r="B115" s="144" t="s">
        <v>222</v>
      </c>
      <c r="C115" s="169"/>
      <c r="D115" s="228"/>
      <c r="E115" s="228"/>
      <c r="F115" s="164"/>
      <c r="G115" s="227"/>
      <c r="H115" s="169"/>
      <c r="I115" s="164"/>
      <c r="J115" s="160"/>
      <c r="K115" s="160"/>
      <c r="L115" s="160"/>
      <c r="M115" s="160"/>
      <c r="N115" s="160"/>
      <c r="O115" s="160"/>
      <c r="P115" s="160"/>
      <c r="Q115" s="160"/>
      <c r="R115" s="16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273" t="s">
        <v>297</v>
      </c>
      <c r="AU115" s="150"/>
      <c r="AV115" s="150"/>
      <c r="AW115" s="150"/>
      <c r="AX115" s="150"/>
      <c r="AY115" s="151"/>
      <c r="AZ115" s="235">
        <v>2488</v>
      </c>
      <c r="BA115" s="199"/>
      <c r="BB115" s="299">
        <f>AZ115*BB58</f>
        <v>9501.036262558278</v>
      </c>
    </row>
    <row r="116" spans="1:54" ht="12.75" customHeight="1">
      <c r="A116" s="143" t="s">
        <v>225</v>
      </c>
      <c r="B116" s="143" t="s">
        <v>236</v>
      </c>
      <c r="C116" s="197">
        <v>623125667</v>
      </c>
      <c r="D116" s="325">
        <v>3489.277</v>
      </c>
      <c r="E116" s="325">
        <v>3562.268</v>
      </c>
      <c r="F116" s="175">
        <v>1800</v>
      </c>
      <c r="G116" s="326">
        <f t="shared" si="2"/>
        <v>72.99099999999999</v>
      </c>
      <c r="H116" s="171"/>
      <c r="I116" s="175">
        <f>G116*F116</f>
        <v>131383.8</v>
      </c>
      <c r="J116" s="160"/>
      <c r="K116" s="160"/>
      <c r="L116" s="160"/>
      <c r="M116" s="160"/>
      <c r="N116" s="160"/>
      <c r="O116" s="160"/>
      <c r="P116" s="160"/>
      <c r="Q116" s="160"/>
      <c r="R116" s="16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273" t="s">
        <v>6</v>
      </c>
      <c r="AU116" s="150"/>
      <c r="AV116" s="150"/>
      <c r="AW116" s="150"/>
      <c r="AX116" s="150"/>
      <c r="AY116" s="151"/>
      <c r="AZ116" s="235">
        <v>15000</v>
      </c>
      <c r="BA116" s="199"/>
      <c r="BB116" s="299">
        <f>AZ116*BB58</f>
        <v>57281.16717780313</v>
      </c>
    </row>
    <row r="117" spans="1:54" ht="12.75" customHeight="1">
      <c r="A117" s="144"/>
      <c r="B117" s="144" t="s">
        <v>222</v>
      </c>
      <c r="C117" s="169"/>
      <c r="D117" s="228"/>
      <c r="E117" s="228"/>
      <c r="F117" s="164"/>
      <c r="G117" s="227"/>
      <c r="H117" s="169"/>
      <c r="I117" s="164"/>
      <c r="J117" s="160"/>
      <c r="K117" s="160"/>
      <c r="L117" s="160"/>
      <c r="M117" s="160"/>
      <c r="N117" s="160"/>
      <c r="O117" s="160"/>
      <c r="P117" s="160"/>
      <c r="Q117" s="160"/>
      <c r="R117" s="16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273" t="s">
        <v>21</v>
      </c>
      <c r="AU117" s="214"/>
      <c r="AV117" s="150"/>
      <c r="AW117" s="150"/>
      <c r="AX117" s="150"/>
      <c r="AY117" s="151"/>
      <c r="AZ117" s="235">
        <v>5000</v>
      </c>
      <c r="BA117" s="199"/>
      <c r="BB117" s="299">
        <f>AZ117*BB58</f>
        <v>19093.72239260104</v>
      </c>
    </row>
    <row r="118" spans="1:54" ht="12.75" customHeight="1">
      <c r="A118" s="143" t="s">
        <v>226</v>
      </c>
      <c r="B118" s="143" t="s">
        <v>237</v>
      </c>
      <c r="C118" s="197">
        <v>623126370</v>
      </c>
      <c r="D118" s="325">
        <v>688.7956</v>
      </c>
      <c r="E118" s="325">
        <v>704.8076</v>
      </c>
      <c r="F118" s="175">
        <v>4800</v>
      </c>
      <c r="G118" s="326">
        <f t="shared" si="2"/>
        <v>16.011999999999944</v>
      </c>
      <c r="H118" s="171"/>
      <c r="I118" s="175">
        <f>G118*F118</f>
        <v>76857.59999999973</v>
      </c>
      <c r="J118" s="160"/>
      <c r="K118" s="160"/>
      <c r="L118" s="160"/>
      <c r="M118" s="160"/>
      <c r="N118" s="160"/>
      <c r="O118" s="160"/>
      <c r="P118" s="160"/>
      <c r="Q118" s="160"/>
      <c r="R118" s="16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273" t="s">
        <v>388</v>
      </c>
      <c r="AU118" s="214"/>
      <c r="AV118" s="150"/>
      <c r="AW118" s="150"/>
      <c r="AX118" s="150"/>
      <c r="AY118" s="151"/>
      <c r="AZ118" s="235">
        <v>50</v>
      </c>
      <c r="BA118" s="199"/>
      <c r="BB118" s="299">
        <f>AZ118*BB58</f>
        <v>190.93722392601043</v>
      </c>
    </row>
    <row r="119" spans="1:54" ht="12.75" customHeight="1">
      <c r="A119" s="144"/>
      <c r="B119" s="144" t="s">
        <v>222</v>
      </c>
      <c r="C119" s="169"/>
      <c r="D119" s="228"/>
      <c r="E119" s="228"/>
      <c r="F119" s="164"/>
      <c r="G119" s="227"/>
      <c r="H119" s="169"/>
      <c r="I119" s="164"/>
      <c r="J119" s="160"/>
      <c r="K119" s="160"/>
      <c r="L119" s="160"/>
      <c r="M119" s="160"/>
      <c r="N119" s="160"/>
      <c r="O119" s="160"/>
      <c r="P119" s="160"/>
      <c r="Q119" s="160"/>
      <c r="R119" s="16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273" t="s">
        <v>365</v>
      </c>
      <c r="AU119" s="214"/>
      <c r="AV119" s="150"/>
      <c r="AW119" s="150"/>
      <c r="AX119" s="150"/>
      <c r="AY119" s="151"/>
      <c r="AZ119" s="235">
        <v>14480</v>
      </c>
      <c r="BA119" s="199"/>
      <c r="BB119" s="299">
        <f>AZ119*BB58</f>
        <v>55295.42004897262</v>
      </c>
    </row>
    <row r="120" spans="1:54" ht="12.75" customHeight="1">
      <c r="A120" s="143" t="s">
        <v>227</v>
      </c>
      <c r="B120" s="143" t="s">
        <v>238</v>
      </c>
      <c r="C120" s="197">
        <v>623125137</v>
      </c>
      <c r="D120" s="325">
        <v>695.661</v>
      </c>
      <c r="E120" s="325">
        <v>695.661</v>
      </c>
      <c r="F120" s="175">
        <v>4800</v>
      </c>
      <c r="G120" s="326">
        <f t="shared" si="2"/>
        <v>0</v>
      </c>
      <c r="H120" s="171"/>
      <c r="I120" s="175">
        <f>G120*F120</f>
        <v>0</v>
      </c>
      <c r="J120" s="160"/>
      <c r="K120" s="160"/>
      <c r="L120" s="160"/>
      <c r="M120" s="160"/>
      <c r="N120" s="160"/>
      <c r="O120" s="160"/>
      <c r="P120" s="160"/>
      <c r="Q120" s="160"/>
      <c r="R120" s="16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273"/>
      <c r="AU120" s="214"/>
      <c r="AV120" s="150"/>
      <c r="AW120" s="150"/>
      <c r="AX120" s="150"/>
      <c r="AY120" s="151"/>
      <c r="AZ120" s="235"/>
      <c r="BA120" s="199"/>
      <c r="BB120" s="299"/>
    </row>
    <row r="121" spans="1:54" ht="12.75" customHeight="1">
      <c r="A121" s="144"/>
      <c r="B121" s="144" t="s">
        <v>222</v>
      </c>
      <c r="C121" s="169"/>
      <c r="D121" s="228"/>
      <c r="E121" s="228"/>
      <c r="F121" s="164"/>
      <c r="G121" s="227"/>
      <c r="H121" s="169"/>
      <c r="I121" s="164"/>
      <c r="J121" s="160"/>
      <c r="K121" s="160"/>
      <c r="L121" s="160"/>
      <c r="M121" s="160"/>
      <c r="N121" s="160"/>
      <c r="O121" s="160"/>
      <c r="P121" s="160"/>
      <c r="Q121" s="160"/>
      <c r="R121" s="16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02"/>
      <c r="AU121" s="150"/>
      <c r="AV121" s="150"/>
      <c r="AW121" s="150"/>
      <c r="AX121" s="150"/>
      <c r="AY121" s="151"/>
      <c r="AZ121" s="235"/>
      <c r="BA121" s="199"/>
      <c r="BB121" s="299"/>
    </row>
    <row r="122" spans="1:54" ht="12.75" customHeight="1">
      <c r="A122" s="143" t="s">
        <v>228</v>
      </c>
      <c r="B122" s="143" t="s">
        <v>239</v>
      </c>
      <c r="C122" s="197">
        <v>623125142</v>
      </c>
      <c r="D122" s="325">
        <v>2427.8031</v>
      </c>
      <c r="E122" s="325">
        <v>2457.8195</v>
      </c>
      <c r="F122" s="175">
        <v>2400</v>
      </c>
      <c r="G122" s="326">
        <f t="shared" si="2"/>
        <v>30.016399999999976</v>
      </c>
      <c r="H122" s="171"/>
      <c r="I122" s="175">
        <f>G122*F122</f>
        <v>72039.35999999994</v>
      </c>
      <c r="J122" s="160"/>
      <c r="K122" s="160"/>
      <c r="L122" s="160"/>
      <c r="M122" s="160"/>
      <c r="N122" s="160"/>
      <c r="O122" s="160"/>
      <c r="P122" s="160"/>
      <c r="Q122" s="160"/>
      <c r="R122" s="16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02"/>
      <c r="AU122" s="150"/>
      <c r="AV122" s="150"/>
      <c r="AW122" s="150"/>
      <c r="AX122" s="150"/>
      <c r="AY122" s="151"/>
      <c r="AZ122" s="235"/>
      <c r="BA122" s="199"/>
      <c r="BB122" s="299"/>
    </row>
    <row r="123" spans="1:54" ht="12.75" customHeight="1">
      <c r="A123" s="144"/>
      <c r="B123" s="144" t="s">
        <v>222</v>
      </c>
      <c r="C123" s="169"/>
      <c r="D123" s="228"/>
      <c r="E123" s="228"/>
      <c r="F123" s="164"/>
      <c r="G123" s="227"/>
      <c r="H123" s="169"/>
      <c r="I123" s="164"/>
      <c r="J123" s="160"/>
      <c r="K123" s="160"/>
      <c r="L123" s="160"/>
      <c r="M123" s="160"/>
      <c r="N123" s="160"/>
      <c r="O123" s="160"/>
      <c r="P123" s="160"/>
      <c r="Q123" s="160"/>
      <c r="R123" s="16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02"/>
      <c r="AU123" s="150"/>
      <c r="AV123" s="150"/>
      <c r="AW123" s="150"/>
      <c r="AX123" s="150"/>
      <c r="AY123" s="151"/>
      <c r="AZ123" s="235"/>
      <c r="BA123" s="199"/>
      <c r="BB123" s="299"/>
    </row>
    <row r="124" spans="1:54" ht="12.75" customHeight="1">
      <c r="A124" s="143" t="s">
        <v>229</v>
      </c>
      <c r="B124" s="143" t="s">
        <v>240</v>
      </c>
      <c r="C124" s="197">
        <v>623125205</v>
      </c>
      <c r="D124" s="325">
        <v>1841.8192</v>
      </c>
      <c r="E124" s="325">
        <v>1896.31</v>
      </c>
      <c r="F124" s="175">
        <v>1800</v>
      </c>
      <c r="G124" s="326">
        <f t="shared" si="2"/>
        <v>54.490800000000036</v>
      </c>
      <c r="H124" s="171"/>
      <c r="I124" s="175">
        <f>G124*F124</f>
        <v>98083.44000000006</v>
      </c>
      <c r="J124" s="160"/>
      <c r="K124" s="160"/>
      <c r="L124" s="160"/>
      <c r="M124" s="160"/>
      <c r="N124" s="160"/>
      <c r="O124" s="160"/>
      <c r="P124" s="160"/>
      <c r="Q124" s="160"/>
      <c r="R124" s="16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02"/>
      <c r="AU124" s="150"/>
      <c r="AV124" s="150"/>
      <c r="AW124" s="150"/>
      <c r="AX124" s="150"/>
      <c r="AY124" s="151"/>
      <c r="AZ124" s="235"/>
      <c r="BA124" s="199"/>
      <c r="BB124" s="299"/>
    </row>
    <row r="125" spans="1:54" ht="12.75" customHeight="1">
      <c r="A125" s="144"/>
      <c r="B125" s="144" t="s">
        <v>222</v>
      </c>
      <c r="C125" s="169"/>
      <c r="D125" s="228"/>
      <c r="E125" s="228"/>
      <c r="F125" s="164"/>
      <c r="G125" s="227"/>
      <c r="H125" s="169"/>
      <c r="I125" s="164"/>
      <c r="J125" s="160"/>
      <c r="K125" s="160"/>
      <c r="L125" s="160"/>
      <c r="M125" s="160"/>
      <c r="N125" s="160"/>
      <c r="O125" s="160"/>
      <c r="P125" s="160"/>
      <c r="Q125" s="160"/>
      <c r="R125" s="16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02"/>
      <c r="AU125" s="150"/>
      <c r="AV125" s="150"/>
      <c r="AW125" s="150"/>
      <c r="AX125" s="150"/>
      <c r="AY125" s="151"/>
      <c r="AZ125" s="235"/>
      <c r="BA125" s="199"/>
      <c r="BB125" s="299"/>
    </row>
    <row r="126" spans="1:54" ht="12.75" customHeight="1">
      <c r="A126" s="143" t="s">
        <v>230</v>
      </c>
      <c r="B126" s="143" t="s">
        <v>241</v>
      </c>
      <c r="C126" s="197">
        <v>623123704</v>
      </c>
      <c r="D126" s="325">
        <v>2309.6296</v>
      </c>
      <c r="E126" s="325">
        <v>2344.0971</v>
      </c>
      <c r="F126" s="175">
        <v>1800</v>
      </c>
      <c r="G126" s="326">
        <f t="shared" si="2"/>
        <v>34.467499999999745</v>
      </c>
      <c r="H126" s="171"/>
      <c r="I126" s="175">
        <f>G126*F126</f>
        <v>62041.49999999954</v>
      </c>
      <c r="J126" s="160"/>
      <c r="K126" s="160"/>
      <c r="L126" s="160"/>
      <c r="M126" s="160"/>
      <c r="N126" s="160"/>
      <c r="O126" s="160"/>
      <c r="P126" s="160"/>
      <c r="Q126" s="160"/>
      <c r="R126" s="16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02"/>
      <c r="AU126" s="150"/>
      <c r="AV126" s="219"/>
      <c r="AW126" s="219"/>
      <c r="AX126" s="150"/>
      <c r="AY126" s="151"/>
      <c r="AZ126" s="235"/>
      <c r="BA126" s="199"/>
      <c r="BB126" s="299"/>
    </row>
    <row r="127" spans="1:54" ht="12.75" customHeight="1">
      <c r="A127" s="144"/>
      <c r="B127" s="144" t="s">
        <v>222</v>
      </c>
      <c r="C127" s="169"/>
      <c r="D127" s="228"/>
      <c r="E127" s="228"/>
      <c r="F127" s="164"/>
      <c r="G127" s="227"/>
      <c r="H127" s="169"/>
      <c r="I127" s="164"/>
      <c r="J127" s="160"/>
      <c r="K127" s="160"/>
      <c r="L127" s="160"/>
      <c r="M127" s="160"/>
      <c r="N127" s="160"/>
      <c r="O127" s="160"/>
      <c r="P127" s="160"/>
      <c r="Q127" s="160"/>
      <c r="R127" s="16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60"/>
      <c r="AU127" s="120"/>
      <c r="AV127" s="120"/>
      <c r="AW127" s="120"/>
      <c r="AX127" s="120"/>
      <c r="AY127" s="120"/>
      <c r="AZ127" s="274"/>
      <c r="BA127" s="120"/>
      <c r="BB127" s="120"/>
    </row>
    <row r="128" spans="1:54" ht="12.75" customHeight="1">
      <c r="A128" s="143" t="s">
        <v>231</v>
      </c>
      <c r="B128" s="143" t="s">
        <v>242</v>
      </c>
      <c r="C128" s="197">
        <v>623125794</v>
      </c>
      <c r="D128" s="325">
        <v>70.5155</v>
      </c>
      <c r="E128" s="325">
        <v>81.3745</v>
      </c>
      <c r="F128" s="175">
        <v>1800</v>
      </c>
      <c r="G128" s="326">
        <f>E128-D128</f>
        <v>10.858999999999995</v>
      </c>
      <c r="H128" s="171"/>
      <c r="I128" s="175">
        <f>G128*F128</f>
        <v>19546.19999999999</v>
      </c>
      <c r="J128" s="160"/>
      <c r="K128" s="160"/>
      <c r="L128" s="160"/>
      <c r="M128" s="160"/>
      <c r="N128" s="160"/>
      <c r="O128" s="160"/>
      <c r="P128" s="160"/>
      <c r="Q128" s="160"/>
      <c r="R128" s="16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60"/>
      <c r="AU128" s="120"/>
      <c r="AV128" s="120"/>
      <c r="AW128" s="120"/>
      <c r="AX128" s="120"/>
      <c r="AY128" s="120"/>
      <c r="AZ128" s="274"/>
      <c r="BA128" s="120"/>
      <c r="BB128" s="120"/>
    </row>
    <row r="129" spans="1:54" ht="12.75" customHeight="1">
      <c r="A129" s="144"/>
      <c r="B129" s="144" t="s">
        <v>222</v>
      </c>
      <c r="C129" s="169"/>
      <c r="D129" s="228"/>
      <c r="E129" s="228"/>
      <c r="F129" s="164"/>
      <c r="G129" s="227"/>
      <c r="H129" s="169"/>
      <c r="I129" s="164"/>
      <c r="J129" s="160"/>
      <c r="K129" s="160"/>
      <c r="L129" s="160"/>
      <c r="M129" s="160"/>
      <c r="N129" s="160"/>
      <c r="O129" s="160"/>
      <c r="P129" s="160"/>
      <c r="Q129" s="160"/>
      <c r="R129" s="16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60"/>
      <c r="AU129" s="120"/>
      <c r="AV129" s="120"/>
      <c r="AW129" s="120"/>
      <c r="AX129" s="120"/>
      <c r="AY129" s="120"/>
      <c r="AZ129" s="274"/>
      <c r="BA129" s="120"/>
      <c r="BB129" s="120"/>
    </row>
    <row r="130" spans="1:54" ht="12.75" customHeight="1">
      <c r="A130" s="143" t="s">
        <v>232</v>
      </c>
      <c r="B130" s="143" t="s">
        <v>243</v>
      </c>
      <c r="C130" s="197">
        <v>623125736</v>
      </c>
      <c r="D130" s="325">
        <v>2898.697</v>
      </c>
      <c r="E130" s="325">
        <v>2921.1182</v>
      </c>
      <c r="F130" s="175">
        <v>1200</v>
      </c>
      <c r="G130" s="326">
        <f t="shared" si="2"/>
        <v>22.42119999999977</v>
      </c>
      <c r="H130" s="171"/>
      <c r="I130" s="175">
        <f>G130*F130</f>
        <v>26905.439999999726</v>
      </c>
      <c r="J130" s="160"/>
      <c r="K130" s="160"/>
      <c r="L130" s="160"/>
      <c r="M130" s="160"/>
      <c r="N130" s="160"/>
      <c r="O130" s="160"/>
      <c r="P130" s="160"/>
      <c r="Q130" s="160"/>
      <c r="R130" s="16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60"/>
      <c r="AU130" s="120"/>
      <c r="AV130" s="120"/>
      <c r="AW130" s="120"/>
      <c r="AX130" s="120"/>
      <c r="AY130" s="120"/>
      <c r="AZ130" s="274"/>
      <c r="BA130" s="120"/>
      <c r="BB130" s="120"/>
    </row>
    <row r="131" spans="1:54" ht="12.75" customHeight="1">
      <c r="A131" s="144"/>
      <c r="B131" s="144" t="s">
        <v>222</v>
      </c>
      <c r="C131" s="168"/>
      <c r="D131" s="228"/>
      <c r="E131" s="228"/>
      <c r="F131" s="164"/>
      <c r="G131" s="227"/>
      <c r="H131" s="169"/>
      <c r="I131" s="164"/>
      <c r="J131" s="160"/>
      <c r="K131" s="160"/>
      <c r="L131" s="160"/>
      <c r="M131" s="160"/>
      <c r="N131" s="160"/>
      <c r="O131" s="160"/>
      <c r="P131" s="160"/>
      <c r="Q131" s="160"/>
      <c r="R131" s="16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60"/>
      <c r="AU131" s="120" t="s">
        <v>9</v>
      </c>
      <c r="AV131" s="120"/>
      <c r="AW131" s="120"/>
      <c r="AX131" s="120"/>
      <c r="AY131" s="120"/>
      <c r="AZ131" s="301">
        <f>AZ9</f>
        <v>5307128</v>
      </c>
      <c r="BA131" s="120"/>
      <c r="BB131" s="275">
        <f>SUM(BB93:BB96)+BB103+BB109+SUM(BB112:BB126)</f>
        <v>20266565.746799998</v>
      </c>
    </row>
    <row r="132" spans="1:54" ht="12.75" customHeight="1">
      <c r="A132" s="143" t="s">
        <v>233</v>
      </c>
      <c r="B132" s="145" t="s">
        <v>234</v>
      </c>
      <c r="C132" s="197">
        <v>1110171156</v>
      </c>
      <c r="D132" s="325">
        <v>1232.312</v>
      </c>
      <c r="E132" s="325">
        <v>1303.7388</v>
      </c>
      <c r="F132" s="175">
        <v>40</v>
      </c>
      <c r="G132" s="326">
        <f t="shared" si="2"/>
        <v>71.42680000000018</v>
      </c>
      <c r="H132" s="171"/>
      <c r="I132" s="175">
        <f>G132*F132</f>
        <v>2857.0720000000074</v>
      </c>
      <c r="J132" s="160"/>
      <c r="K132" s="160"/>
      <c r="L132" s="160"/>
      <c r="M132" s="160"/>
      <c r="N132" s="160"/>
      <c r="O132" s="160"/>
      <c r="P132" s="160"/>
      <c r="Q132" s="160"/>
      <c r="R132" s="16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60"/>
      <c r="AU132" s="120"/>
      <c r="AV132" s="120"/>
      <c r="AW132" s="120"/>
      <c r="AX132" s="120"/>
      <c r="AY132" s="120"/>
      <c r="AZ132" s="274"/>
      <c r="BA132" s="120"/>
      <c r="BB132" s="120"/>
    </row>
    <row r="133" spans="1:54" ht="12.75" customHeight="1">
      <c r="A133" s="144"/>
      <c r="B133" s="103" t="s">
        <v>222</v>
      </c>
      <c r="C133" s="169"/>
      <c r="D133" s="379"/>
      <c r="E133" s="228"/>
      <c r="F133" s="164"/>
      <c r="G133" s="229"/>
      <c r="H133" s="169"/>
      <c r="I133" s="164"/>
      <c r="J133" s="160"/>
      <c r="K133" s="160"/>
      <c r="L133" s="160"/>
      <c r="M133" s="160"/>
      <c r="N133" s="160"/>
      <c r="O133" s="160"/>
      <c r="P133" s="160"/>
      <c r="Q133" s="160"/>
      <c r="R133" s="16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60"/>
      <c r="AU133" s="120"/>
      <c r="AV133" s="120"/>
      <c r="AW133" s="120"/>
      <c r="AX133" s="120"/>
      <c r="AY133" s="120"/>
      <c r="AZ133" s="120"/>
      <c r="BA133" s="120"/>
      <c r="BB133" s="120"/>
    </row>
    <row r="134" spans="1:54" ht="12.75" customHeight="1">
      <c r="A134" s="201"/>
      <c r="B134" s="150"/>
      <c r="C134" s="191"/>
      <c r="D134" s="199"/>
      <c r="E134" s="200"/>
      <c r="F134" s="200"/>
      <c r="G134" s="215" t="s">
        <v>244</v>
      </c>
      <c r="H134" s="151"/>
      <c r="I134" s="235">
        <f>SUM(I112:I133)+I107</f>
        <v>1829549.1520000147</v>
      </c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60" t="s">
        <v>585</v>
      </c>
      <c r="AU134" s="120"/>
      <c r="AV134" s="120"/>
      <c r="AW134" s="120"/>
      <c r="AX134" s="120"/>
      <c r="AY134" s="120"/>
      <c r="AZ134" s="120"/>
      <c r="BA134" s="120"/>
      <c r="BB134" s="120"/>
    </row>
    <row r="135" spans="1:54" ht="12.75" customHeight="1">
      <c r="A135" s="143" t="s">
        <v>247</v>
      </c>
      <c r="B135" s="145" t="s">
        <v>245</v>
      </c>
      <c r="C135" s="202"/>
      <c r="D135" s="202"/>
      <c r="E135" s="203"/>
      <c r="F135" s="203"/>
      <c r="G135" s="204"/>
      <c r="H135" s="146"/>
      <c r="I135" s="205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60"/>
      <c r="AU135" s="120"/>
      <c r="AV135" s="120"/>
      <c r="AW135" s="120"/>
      <c r="AX135" s="120"/>
      <c r="AY135" s="120"/>
      <c r="AZ135" s="120"/>
      <c r="BA135" s="120"/>
      <c r="BB135" s="120"/>
    </row>
    <row r="136" spans="1:54" ht="12.75" customHeight="1">
      <c r="A136" s="173"/>
      <c r="B136" s="159" t="s">
        <v>246</v>
      </c>
      <c r="C136" s="206"/>
      <c r="D136" s="191"/>
      <c r="E136" s="207"/>
      <c r="F136" s="207"/>
      <c r="G136" s="208"/>
      <c r="H136" s="148"/>
      <c r="I136" s="209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60" t="s">
        <v>143</v>
      </c>
      <c r="AU136" s="120"/>
      <c r="AV136" s="120"/>
      <c r="AW136" s="120"/>
      <c r="AX136" s="120"/>
      <c r="AY136" s="120"/>
      <c r="AZ136" s="120"/>
      <c r="BA136" s="120"/>
      <c r="BB136" s="120"/>
    </row>
    <row r="137" spans="1:54" ht="12.75" customHeight="1">
      <c r="A137" s="145" t="s">
        <v>248</v>
      </c>
      <c r="B137" s="143" t="s">
        <v>489</v>
      </c>
      <c r="C137" s="304"/>
      <c r="D137" s="211"/>
      <c r="E137" s="211"/>
      <c r="F137" s="155"/>
      <c r="G137" s="212"/>
      <c r="H137" s="152"/>
      <c r="I137" s="155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60"/>
      <c r="AU137" s="120"/>
      <c r="AV137" s="120"/>
      <c r="AW137" s="120"/>
      <c r="AX137" s="120"/>
      <c r="AY137" s="120"/>
      <c r="AZ137" s="120"/>
      <c r="BA137" s="120"/>
      <c r="BB137" s="120"/>
    </row>
    <row r="138" spans="1:54" ht="12.75" customHeight="1">
      <c r="A138" s="159"/>
      <c r="B138" s="173"/>
      <c r="C138" s="305">
        <v>611127627</v>
      </c>
      <c r="D138" s="302">
        <v>2402.5676</v>
      </c>
      <c r="E138" s="302">
        <v>2438.8044</v>
      </c>
      <c r="F138" s="155">
        <v>40</v>
      </c>
      <c r="G138" s="252">
        <f>E138-D138</f>
        <v>36.23680000000013</v>
      </c>
      <c r="H138" s="155"/>
      <c r="I138" s="155">
        <f>ROUND(F138*G138+H138,0)</f>
        <v>1449</v>
      </c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60"/>
      <c r="AU138" s="120"/>
      <c r="AV138" s="120"/>
      <c r="AW138" s="120"/>
      <c r="AX138" s="120"/>
      <c r="AY138" s="120"/>
      <c r="AZ138" s="120"/>
      <c r="BA138" s="120"/>
      <c r="BB138" s="120"/>
    </row>
    <row r="139" spans="1:54" ht="12.75" customHeight="1">
      <c r="A139" s="159"/>
      <c r="B139" s="144" t="s">
        <v>467</v>
      </c>
      <c r="C139" s="305"/>
      <c r="D139" s="306"/>
      <c r="E139" s="306"/>
      <c r="F139" s="155"/>
      <c r="G139" s="212"/>
      <c r="H139" s="155"/>
      <c r="I139" s="155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</row>
    <row r="140" spans="1:54" ht="12.75" customHeight="1">
      <c r="A140" s="143" t="s">
        <v>251</v>
      </c>
      <c r="B140" s="161"/>
      <c r="C140" s="213">
        <v>810120245</v>
      </c>
      <c r="D140" s="302">
        <v>1315.0846</v>
      </c>
      <c r="E140" s="302">
        <v>1337.4575</v>
      </c>
      <c r="F140" s="155">
        <v>3600</v>
      </c>
      <c r="G140" s="252">
        <f aca="true" t="shared" si="3" ref="G140:G145">E140-D140</f>
        <v>22.372900000000072</v>
      </c>
      <c r="H140" s="155"/>
      <c r="I140" s="155">
        <f aca="true" t="shared" si="4" ref="I140:I145">ROUND(F140*G140+H140,0)</f>
        <v>80542</v>
      </c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</row>
    <row r="141" spans="1:54" ht="12.75" customHeight="1">
      <c r="A141" s="173"/>
      <c r="B141" s="161" t="s">
        <v>495</v>
      </c>
      <c r="C141" s="213"/>
      <c r="D141" s="302"/>
      <c r="E141" s="302"/>
      <c r="F141" s="155"/>
      <c r="G141" s="252"/>
      <c r="H141" s="96"/>
      <c r="I141" s="155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</row>
    <row r="142" spans="1:54" ht="12.75" customHeight="1">
      <c r="A142" s="173"/>
      <c r="B142" s="161"/>
      <c r="C142" s="210">
        <v>4050284</v>
      </c>
      <c r="D142" s="230">
        <v>4204.1434</v>
      </c>
      <c r="E142" s="230">
        <v>4223.099</v>
      </c>
      <c r="F142" s="155">
        <v>3600</v>
      </c>
      <c r="G142" s="253">
        <f t="shared" si="3"/>
        <v>18.95560000000023</v>
      </c>
      <c r="H142" s="96"/>
      <c r="I142" s="155">
        <f t="shared" si="4"/>
        <v>68240</v>
      </c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</row>
    <row r="143" spans="1:54" ht="12.75" customHeight="1">
      <c r="A143" s="144"/>
      <c r="B143" s="149"/>
      <c r="C143" s="210"/>
      <c r="D143" s="230"/>
      <c r="E143" s="230"/>
      <c r="F143" s="155"/>
      <c r="G143" s="253"/>
      <c r="H143" s="96"/>
      <c r="I143" s="155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</row>
    <row r="144" spans="1:54" ht="12.75" customHeight="1">
      <c r="A144" s="173" t="s">
        <v>252</v>
      </c>
      <c r="B144" s="143" t="s">
        <v>218</v>
      </c>
      <c r="C144" s="152"/>
      <c r="D144" s="211"/>
      <c r="E144" s="211"/>
      <c r="F144" s="155"/>
      <c r="G144" s="212"/>
      <c r="H144" s="96"/>
      <c r="I144" s="155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</row>
    <row r="145" spans="1:54" ht="12.75" customHeight="1">
      <c r="A145" s="307"/>
      <c r="B145" s="173" t="s">
        <v>217</v>
      </c>
      <c r="C145" s="305">
        <v>611127492</v>
      </c>
      <c r="D145" s="302">
        <v>5778.524</v>
      </c>
      <c r="E145" s="302">
        <v>5829.732</v>
      </c>
      <c r="F145" s="155">
        <v>20</v>
      </c>
      <c r="G145" s="252">
        <f t="shared" si="3"/>
        <v>51.20799999999963</v>
      </c>
      <c r="H145" s="155"/>
      <c r="I145" s="155">
        <f t="shared" si="4"/>
        <v>1024</v>
      </c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</row>
    <row r="146" spans="1:54" ht="12.75" customHeight="1">
      <c r="A146" s="145" t="s">
        <v>253</v>
      </c>
      <c r="B146" s="143" t="s">
        <v>490</v>
      </c>
      <c r="C146" s="309"/>
      <c r="D146" s="211"/>
      <c r="E146" s="211"/>
      <c r="F146" s="155"/>
      <c r="G146" s="212"/>
      <c r="H146" s="96"/>
      <c r="I146" s="155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</row>
    <row r="147" spans="1:54" ht="12.75" customHeight="1">
      <c r="A147" s="308"/>
      <c r="B147" s="168" t="s">
        <v>546</v>
      </c>
      <c r="C147" s="305">
        <v>611127702</v>
      </c>
      <c r="D147" s="302">
        <v>6885.0656</v>
      </c>
      <c r="E147" s="302">
        <v>6918.522</v>
      </c>
      <c r="F147" s="155">
        <v>60</v>
      </c>
      <c r="G147" s="252">
        <f>E147-D147</f>
        <v>33.45640000000003</v>
      </c>
      <c r="H147" s="96"/>
      <c r="I147" s="155">
        <f>ROUND(F147*G147+H147,0)</f>
        <v>2007</v>
      </c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</row>
    <row r="148" spans="1:54" ht="12.75" customHeight="1">
      <c r="A148" s="159"/>
      <c r="B148" s="168" t="s">
        <v>547</v>
      </c>
      <c r="C148" s="305">
        <v>611127555</v>
      </c>
      <c r="D148" s="302">
        <v>1503.6924</v>
      </c>
      <c r="E148" s="302">
        <v>1648.7128</v>
      </c>
      <c r="F148" s="155">
        <v>60</v>
      </c>
      <c r="G148" s="252">
        <f>E148-D148</f>
        <v>145.0204000000001</v>
      </c>
      <c r="H148" s="96"/>
      <c r="I148" s="155">
        <f>ROUND(F148*G148+H148,0)</f>
        <v>8701</v>
      </c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</row>
    <row r="149" spans="1:54" ht="12.75" customHeight="1">
      <c r="A149" s="145" t="s">
        <v>258</v>
      </c>
      <c r="B149" s="143" t="s">
        <v>491</v>
      </c>
      <c r="C149" s="310"/>
      <c r="D149" s="232"/>
      <c r="E149" s="232"/>
      <c r="F149" s="155"/>
      <c r="G149" s="212"/>
      <c r="H149" s="96"/>
      <c r="I149" s="155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</row>
    <row r="150" spans="1:54" ht="12.75" customHeight="1">
      <c r="A150" s="308"/>
      <c r="B150" s="173"/>
      <c r="C150" s="305">
        <v>1110171163</v>
      </c>
      <c r="D150" s="230">
        <v>406.6196</v>
      </c>
      <c r="E150" s="230">
        <v>459.6324</v>
      </c>
      <c r="F150" s="155">
        <v>60</v>
      </c>
      <c r="G150" s="252">
        <f>E150-D150</f>
        <v>53.01280000000003</v>
      </c>
      <c r="H150" s="96"/>
      <c r="I150" s="155">
        <f>ROUND(F150*G150+H150,0)</f>
        <v>3181</v>
      </c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</row>
    <row r="151" spans="1:54" ht="12.75" customHeight="1">
      <c r="A151" s="159"/>
      <c r="B151" s="173"/>
      <c r="C151" s="305"/>
      <c r="D151" s="211"/>
      <c r="E151" s="211"/>
      <c r="F151" s="155"/>
      <c r="G151" s="212"/>
      <c r="H151" s="96"/>
      <c r="I151" s="155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</row>
    <row r="152" spans="1:54" ht="12.75" customHeight="1">
      <c r="A152" s="145" t="s">
        <v>260</v>
      </c>
      <c r="B152" s="143" t="s">
        <v>492</v>
      </c>
      <c r="C152" s="311"/>
      <c r="D152" s="232"/>
      <c r="E152" s="232"/>
      <c r="F152" s="155"/>
      <c r="G152" s="212"/>
      <c r="H152" s="96"/>
      <c r="I152" s="155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</row>
    <row r="153" spans="1:54" ht="12.75" customHeight="1">
      <c r="A153" s="159"/>
      <c r="B153" s="173"/>
      <c r="C153" s="305">
        <v>1110171170</v>
      </c>
      <c r="D153" s="302">
        <v>174.6788</v>
      </c>
      <c r="E153" s="302">
        <v>182.0048</v>
      </c>
      <c r="F153" s="155">
        <v>40</v>
      </c>
      <c r="G153" s="252">
        <f>E153-D153</f>
        <v>7.325999999999993</v>
      </c>
      <c r="H153" s="155"/>
      <c r="I153" s="155">
        <f>ROUND(F153*G153+H153,0)</f>
        <v>293</v>
      </c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</row>
    <row r="154" spans="1:54" ht="12.75" customHeight="1">
      <c r="A154" s="159"/>
      <c r="B154" s="173"/>
      <c r="C154" s="305"/>
      <c r="D154" s="306"/>
      <c r="E154" s="306"/>
      <c r="F154" s="155"/>
      <c r="G154" s="212"/>
      <c r="H154" s="155"/>
      <c r="I154" s="155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</row>
    <row r="155" spans="1:54" ht="12.75" customHeight="1">
      <c r="A155" s="143" t="s">
        <v>261</v>
      </c>
      <c r="B155" s="147" t="s">
        <v>541</v>
      </c>
      <c r="C155" s="305">
        <v>611126342</v>
      </c>
      <c r="D155" s="302">
        <v>6059.7548</v>
      </c>
      <c r="E155" s="302">
        <v>6059.7548</v>
      </c>
      <c r="F155" s="155">
        <v>1800</v>
      </c>
      <c r="G155" s="252">
        <f>E155-D155</f>
        <v>0</v>
      </c>
      <c r="H155" s="155"/>
      <c r="I155" s="155">
        <f>ROUND(F155*G155+H155,0)</f>
        <v>0</v>
      </c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</row>
    <row r="156" spans="1:54" ht="12.75" customHeight="1">
      <c r="A156" s="173"/>
      <c r="B156" s="161" t="s">
        <v>469</v>
      </c>
      <c r="C156" s="305">
        <v>611126404</v>
      </c>
      <c r="D156" s="302">
        <v>853.4855</v>
      </c>
      <c r="E156" s="302">
        <v>863.039</v>
      </c>
      <c r="F156" s="155">
        <v>1800</v>
      </c>
      <c r="G156" s="252">
        <f>E156-D156</f>
        <v>9.553499999999985</v>
      </c>
      <c r="H156" s="155"/>
      <c r="I156" s="155">
        <f>ROUND(F156*G156+H156,0)</f>
        <v>17196</v>
      </c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</row>
    <row r="157" spans="1:54" ht="12.75" customHeight="1">
      <c r="A157" s="144"/>
      <c r="B157" s="149" t="s">
        <v>509</v>
      </c>
      <c r="C157" s="305">
        <v>611126334</v>
      </c>
      <c r="D157" s="302">
        <v>0.1356</v>
      </c>
      <c r="E157" s="302">
        <v>0.1356</v>
      </c>
      <c r="F157" s="155">
        <v>1800</v>
      </c>
      <c r="G157" s="252">
        <f>E157-D157</f>
        <v>0</v>
      </c>
      <c r="H157" s="96"/>
      <c r="I157" s="155">
        <f>ROUND(F157*G157+H157,0)</f>
        <v>0</v>
      </c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</row>
    <row r="158" spans="1:54" ht="12.75" customHeight="1">
      <c r="A158" s="159" t="s">
        <v>477</v>
      </c>
      <c r="B158" s="143" t="s">
        <v>493</v>
      </c>
      <c r="C158" s="305">
        <v>611127724</v>
      </c>
      <c r="D158" s="302">
        <v>634.3584</v>
      </c>
      <c r="E158" s="302">
        <v>642.9628</v>
      </c>
      <c r="F158" s="155">
        <v>30</v>
      </c>
      <c r="G158" s="252">
        <f>E158-D158</f>
        <v>8.604400000000055</v>
      </c>
      <c r="H158" s="155"/>
      <c r="I158" s="155">
        <f>ROUND(F158*G158+H158,0)</f>
        <v>258</v>
      </c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</row>
    <row r="159" spans="1:54" ht="12.75" customHeight="1">
      <c r="A159" s="103"/>
      <c r="B159" s="173" t="s">
        <v>540</v>
      </c>
      <c r="C159" s="305"/>
      <c r="D159" s="306"/>
      <c r="E159" s="306"/>
      <c r="F159" s="155"/>
      <c r="G159" s="212"/>
      <c r="H159" s="155"/>
      <c r="I159" s="155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</row>
    <row r="160" spans="1:54" ht="12.75" customHeight="1">
      <c r="A160" s="96"/>
      <c r="B160" s="312"/>
      <c r="C160" s="171"/>
      <c r="D160" s="306"/>
      <c r="E160" s="306"/>
      <c r="F160" s="155"/>
      <c r="G160" s="212"/>
      <c r="H160" s="155"/>
      <c r="I160" s="155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</row>
    <row r="161" spans="1:54" ht="12.75" customHeight="1">
      <c r="A161" s="103"/>
      <c r="B161" s="148"/>
      <c r="C161" s="150"/>
      <c r="D161" s="150"/>
      <c r="E161" s="150"/>
      <c r="F161" s="150" t="s">
        <v>264</v>
      </c>
      <c r="G161" s="150"/>
      <c r="H161" s="151"/>
      <c r="I161" s="235">
        <f>SUM(I137:I159)-I160</f>
        <v>182891</v>
      </c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</row>
    <row r="162" spans="1:54" ht="12.75">
      <c r="A162" s="102"/>
      <c r="B162" s="150"/>
      <c r="C162" s="150"/>
      <c r="D162" s="150"/>
      <c r="E162" s="150"/>
      <c r="F162" s="150"/>
      <c r="G162" s="150" t="s">
        <v>265</v>
      </c>
      <c r="H162" s="151"/>
      <c r="I162" s="235">
        <f>I103+I104+I107+I108+I109+I110-I134-I161</f>
        <v>2922666.347999993</v>
      </c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</row>
    <row r="163" spans="1:54" ht="12.75">
      <c r="A163" s="96" t="s">
        <v>272</v>
      </c>
      <c r="B163" s="102" t="s">
        <v>266</v>
      </c>
      <c r="C163" s="150"/>
      <c r="D163" s="150"/>
      <c r="E163" s="150"/>
      <c r="F163" s="150"/>
      <c r="G163" s="150"/>
      <c r="H163" s="150"/>
      <c r="I163" s="151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</row>
    <row r="164" spans="1:54" ht="12.75">
      <c r="A164" s="143" t="s">
        <v>270</v>
      </c>
      <c r="B164" s="143" t="s">
        <v>267</v>
      </c>
      <c r="C164" s="171">
        <v>18705639</v>
      </c>
      <c r="D164" s="321">
        <v>38</v>
      </c>
      <c r="E164" s="321">
        <v>38</v>
      </c>
      <c r="F164" s="175">
        <v>30</v>
      </c>
      <c r="G164" s="322">
        <f>E164-D164</f>
        <v>0</v>
      </c>
      <c r="H164" s="143"/>
      <c r="I164" s="175">
        <f>F164*G164+H164</f>
        <v>0</v>
      </c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</row>
    <row r="165" spans="1:54" ht="12.75">
      <c r="A165" s="144"/>
      <c r="B165" s="144" t="s">
        <v>268</v>
      </c>
      <c r="C165" s="169"/>
      <c r="D165" s="144"/>
      <c r="E165" s="144"/>
      <c r="F165" s="164"/>
      <c r="G165" s="144"/>
      <c r="H165" s="144"/>
      <c r="I165" s="144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</row>
    <row r="166" spans="1:54" ht="12.75">
      <c r="A166" s="143" t="s">
        <v>271</v>
      </c>
      <c r="B166" s="143" t="s">
        <v>269</v>
      </c>
      <c r="C166" s="171">
        <v>18705843</v>
      </c>
      <c r="D166" s="321">
        <v>204.4</v>
      </c>
      <c r="E166" s="321">
        <v>204.4</v>
      </c>
      <c r="F166" s="175">
        <v>30</v>
      </c>
      <c r="G166" s="233">
        <f>E166-D166</f>
        <v>0</v>
      </c>
      <c r="H166" s="143"/>
      <c r="I166" s="175">
        <f>F166*G166+H166</f>
        <v>0</v>
      </c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</row>
    <row r="167" spans="1:54" ht="12.75">
      <c r="A167" s="144"/>
      <c r="B167" s="144" t="s">
        <v>268</v>
      </c>
      <c r="C167" s="169"/>
      <c r="D167" s="144"/>
      <c r="E167" s="144"/>
      <c r="F167" s="164"/>
      <c r="G167" s="144"/>
      <c r="H167" s="144"/>
      <c r="I167" s="144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</row>
    <row r="168" spans="1:54" ht="12.75">
      <c r="A168" s="102"/>
      <c r="B168" s="150"/>
      <c r="C168" s="217"/>
      <c r="D168" s="199"/>
      <c r="E168" s="218"/>
      <c r="F168" s="218" t="s">
        <v>273</v>
      </c>
      <c r="G168" s="219"/>
      <c r="H168" s="151"/>
      <c r="I168" s="155">
        <f>I164+I166</f>
        <v>0</v>
      </c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</row>
    <row r="169" spans="1:54" ht="12.75">
      <c r="A169" s="102"/>
      <c r="B169" s="150"/>
      <c r="C169" s="217"/>
      <c r="D169" s="199"/>
      <c r="E169" s="218"/>
      <c r="F169" s="218"/>
      <c r="G169" s="219" t="s">
        <v>274</v>
      </c>
      <c r="H169" s="151"/>
      <c r="I169" s="235">
        <f>I162+I168</f>
        <v>2922666.347999993</v>
      </c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</row>
    <row r="170" spans="1:54" ht="12.75">
      <c r="A170" s="145" t="s">
        <v>275</v>
      </c>
      <c r="B170" s="146"/>
      <c r="C170" s="220"/>
      <c r="D170" s="202"/>
      <c r="E170" s="221"/>
      <c r="F170" s="221"/>
      <c r="G170" s="204"/>
      <c r="H170" s="146"/>
      <c r="I170" s="205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</row>
    <row r="171" spans="1:54" ht="12.75">
      <c r="A171" s="222" t="s">
        <v>538</v>
      </c>
      <c r="B171" s="223"/>
      <c r="C171" s="223"/>
      <c r="D171" s="191"/>
      <c r="E171" s="148"/>
      <c r="F171" s="148"/>
      <c r="G171" s="148"/>
      <c r="H171" s="148"/>
      <c r="I171" s="209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</row>
    <row r="172" spans="1:54" ht="12.75">
      <c r="A172" s="160" t="s">
        <v>279</v>
      </c>
      <c r="B172" s="160"/>
      <c r="C172" s="264"/>
      <c r="D172" s="181"/>
      <c r="E172" s="265"/>
      <c r="F172" s="265"/>
      <c r="G172" s="188"/>
      <c r="H172" s="160"/>
      <c r="I172" s="19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</row>
    <row r="173" spans="1:54" ht="12.75">
      <c r="A173" s="160"/>
      <c r="B173" s="160"/>
      <c r="C173" s="181"/>
      <c r="D173" s="313" t="s">
        <v>280</v>
      </c>
      <c r="E173" s="313"/>
      <c r="F173" s="314"/>
      <c r="G173" s="243"/>
      <c r="H173" s="243"/>
      <c r="I173" s="189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</row>
    <row r="174" spans="1:54" ht="12.75">
      <c r="A174" s="160"/>
      <c r="B174" s="160"/>
      <c r="C174" s="181"/>
      <c r="D174" s="313" t="s">
        <v>531</v>
      </c>
      <c r="E174" s="313"/>
      <c r="F174" s="314"/>
      <c r="G174" s="243"/>
      <c r="H174" s="243"/>
      <c r="I174" s="189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</row>
    <row r="175" spans="1:54" ht="12.75">
      <c r="A175" s="160"/>
      <c r="B175" s="160"/>
      <c r="C175" s="264"/>
      <c r="D175" s="313" t="s">
        <v>539</v>
      </c>
      <c r="E175" s="313"/>
      <c r="F175" s="314"/>
      <c r="G175" s="243"/>
      <c r="H175" s="243"/>
      <c r="I175" s="189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</row>
    <row r="176" spans="1:54" ht="12.75">
      <c r="A176" s="160"/>
      <c r="B176" s="160"/>
      <c r="C176" s="160"/>
      <c r="D176" s="160"/>
      <c r="E176" s="160"/>
      <c r="F176" s="160"/>
      <c r="G176" s="160"/>
      <c r="H176" s="160"/>
      <c r="I176" s="16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</row>
    <row r="177" spans="1:54" ht="12.75">
      <c r="A177" s="160"/>
      <c r="B177" s="160"/>
      <c r="C177" s="160"/>
      <c r="D177" s="160"/>
      <c r="E177" s="160"/>
      <c r="F177" s="160"/>
      <c r="G177" s="160"/>
      <c r="H177" s="160"/>
      <c r="I177" s="16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 t="s">
        <v>519</v>
      </c>
      <c r="BA177" s="120"/>
      <c r="BB177" s="120"/>
    </row>
    <row r="178" spans="1:54" ht="12.75">
      <c r="A178" s="160"/>
      <c r="B178" s="160"/>
      <c r="C178" s="315"/>
      <c r="D178" s="316"/>
      <c r="E178" s="316"/>
      <c r="F178" s="180"/>
      <c r="G178" s="317"/>
      <c r="H178" s="160"/>
      <c r="I178" s="18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 t="s">
        <v>513</v>
      </c>
      <c r="BA178" s="120" t="s">
        <v>109</v>
      </c>
      <c r="BB178" s="120"/>
    </row>
    <row r="179" spans="1:54" ht="12.75">
      <c r="A179" s="243"/>
      <c r="B179" s="160"/>
      <c r="C179" s="315"/>
      <c r="D179" s="316"/>
      <c r="E179" s="316"/>
      <c r="F179" s="180"/>
      <c r="G179" s="317"/>
      <c r="H179" s="160"/>
      <c r="I179" s="18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 t="s">
        <v>510</v>
      </c>
      <c r="AZ179" s="301">
        <f>AZ183+AZ184+AZ185</f>
        <v>3047255</v>
      </c>
      <c r="BA179" s="370">
        <f>AZ179*2.9</f>
        <v>8837039.5</v>
      </c>
      <c r="BB179" s="120"/>
    </row>
    <row r="180" spans="1:54" ht="12.75">
      <c r="A180" s="160"/>
      <c r="B180" s="160"/>
      <c r="C180" s="160"/>
      <c r="D180" s="160"/>
      <c r="E180" s="160"/>
      <c r="F180" s="160"/>
      <c r="G180" s="160"/>
      <c r="H180" s="160"/>
      <c r="I180" s="16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 t="s">
        <v>511</v>
      </c>
      <c r="AZ180" s="301">
        <f>AZ187-AZ179-AZ181</f>
        <v>2096093</v>
      </c>
      <c r="BA180" s="370">
        <f>AZ180*2.9</f>
        <v>6078669.7</v>
      </c>
      <c r="BB180" s="120"/>
    </row>
    <row r="181" spans="1:54" ht="12.75">
      <c r="A181" s="160"/>
      <c r="B181" s="160"/>
      <c r="C181" s="160"/>
      <c r="D181" s="160"/>
      <c r="E181" s="160"/>
      <c r="F181" s="160"/>
      <c r="G181" s="160"/>
      <c r="H181" s="160"/>
      <c r="I181" s="16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 t="s">
        <v>512</v>
      </c>
      <c r="AZ181" s="301">
        <f>AZ186</f>
        <v>163780</v>
      </c>
      <c r="BA181" s="370">
        <f>AZ181*2.9</f>
        <v>474962</v>
      </c>
      <c r="BB181" s="120"/>
    </row>
    <row r="182" spans="52:53" ht="12.75">
      <c r="AZ182" s="368"/>
      <c r="BA182" s="368"/>
    </row>
    <row r="183" spans="51:53" ht="12.75">
      <c r="AY183" s="120" t="s">
        <v>514</v>
      </c>
      <c r="AZ183" s="369">
        <v>2742934</v>
      </c>
      <c r="BA183" s="368"/>
    </row>
    <row r="184" spans="51:53" ht="12.75">
      <c r="AY184" s="120" t="s">
        <v>515</v>
      </c>
      <c r="AZ184" s="369">
        <f>AZ95</f>
        <v>122468</v>
      </c>
      <c r="BA184" s="368"/>
    </row>
    <row r="185" spans="51:53" ht="12.75">
      <c r="AY185" s="120" t="s">
        <v>517</v>
      </c>
      <c r="AZ185" s="369">
        <v>181853</v>
      </c>
      <c r="BA185" s="368"/>
    </row>
    <row r="186" spans="51:53" ht="12.75">
      <c r="AY186" s="120" t="s">
        <v>518</v>
      </c>
      <c r="AZ186" s="369">
        <v>163780</v>
      </c>
      <c r="BA186" s="368"/>
    </row>
    <row r="187" spans="51:52" ht="12.75">
      <c r="AY187" s="120" t="s">
        <v>516</v>
      </c>
      <c r="AZ187" s="369">
        <f>AZ131</f>
        <v>5307128</v>
      </c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 t="s">
        <v>552</v>
      </c>
      <c r="C196" s="4"/>
      <c r="D196" s="380">
        <v>42325.9</v>
      </c>
      <c r="E196" s="380">
        <v>42342.11</v>
      </c>
      <c r="F196" s="380">
        <v>1800</v>
      </c>
      <c r="G196" s="380">
        <f>E196-D196</f>
        <v>16.209999999999127</v>
      </c>
      <c r="H196" s="380"/>
      <c r="I196" s="155">
        <f>ROUND(F196*G196+H196,0)</f>
        <v>29178</v>
      </c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2.75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2.75">
      <c r="A200" s="11"/>
      <c r="B200" s="11"/>
      <c r="C200" s="11"/>
      <c r="D200" s="11"/>
      <c r="E200" s="11"/>
      <c r="F200" s="11"/>
      <c r="G200" s="11"/>
      <c r="H200" s="11"/>
      <c r="I200" s="11"/>
    </row>
  </sheetData>
  <sheetProtection/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200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25390625" style="0" customWidth="1"/>
    <col min="4" max="5" width="11.00390625" style="0" customWidth="1"/>
    <col min="6" max="6" width="9.375" style="0" customWidth="1"/>
    <col min="7" max="8" width="9.25390625" style="0" customWidth="1"/>
    <col min="9" max="9" width="12.00390625" style="0" customWidth="1"/>
    <col min="10" max="10" width="7.25390625" style="0" customWidth="1"/>
    <col min="11" max="11" width="37.625" style="0" customWidth="1"/>
    <col min="12" max="12" width="15.75390625" style="0" customWidth="1"/>
    <col min="13" max="14" width="11.00390625" style="0" customWidth="1"/>
    <col min="15" max="15" width="9.00390625" style="0" customWidth="1"/>
    <col min="16" max="16" width="10.375" style="0" customWidth="1"/>
    <col min="17" max="17" width="8.375" style="0" customWidth="1"/>
    <col min="18" max="18" width="12.00390625" style="0" customWidth="1"/>
    <col min="19" max="19" width="6.625" style="0" customWidth="1"/>
    <col min="22" max="22" width="26.375" style="0" customWidth="1"/>
    <col min="23" max="23" width="13.25390625" style="0" customWidth="1"/>
    <col min="24" max="24" width="14.75390625" style="0" customWidth="1"/>
    <col min="25" max="26" width="14.00390625" style="0" customWidth="1"/>
    <col min="27" max="27" width="13.125" style="0" customWidth="1"/>
    <col min="28" max="28" width="7.375" style="0" customWidth="1"/>
    <col min="31" max="31" width="26.125" style="0" customWidth="1"/>
    <col min="32" max="32" width="13.875" style="0" customWidth="1"/>
    <col min="33" max="33" width="13.25390625" style="0" customWidth="1"/>
    <col min="34" max="34" width="12.75390625" style="0" customWidth="1"/>
    <col min="35" max="35" width="15.125" style="0" customWidth="1"/>
    <col min="36" max="36" width="13.125" style="0" customWidth="1"/>
    <col min="37" max="37" width="6.875" style="0" customWidth="1"/>
    <col min="40" max="40" width="29.00390625" style="0" customWidth="1"/>
    <col min="41" max="41" width="12.75390625" style="0" customWidth="1"/>
    <col min="42" max="42" width="13.00390625" style="0" customWidth="1"/>
    <col min="43" max="43" width="12.625" style="0" customWidth="1"/>
    <col min="44" max="44" width="13.00390625" style="0" customWidth="1"/>
    <col min="45" max="45" width="14.25390625" style="0" customWidth="1"/>
    <col min="51" max="51" width="24.75390625" style="0" customWidth="1"/>
    <col min="52" max="52" width="16.125" style="0" customWidth="1"/>
    <col min="53" max="53" width="16.75390625" style="0" customWidth="1"/>
    <col min="54" max="54" width="16.375" style="0" customWidth="1"/>
  </cols>
  <sheetData>
    <row r="1" spans="1:54" ht="12.7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60"/>
      <c r="T1" s="160"/>
      <c r="U1" s="160"/>
      <c r="V1" s="160"/>
      <c r="W1" s="160"/>
      <c r="X1" s="160"/>
      <c r="Y1" s="160"/>
      <c r="Z1" s="160"/>
      <c r="AA1" s="16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60"/>
      <c r="AU1" s="120"/>
      <c r="AV1" s="120"/>
      <c r="AW1" s="120"/>
      <c r="AX1" s="120"/>
      <c r="AY1" s="120"/>
      <c r="AZ1" s="120"/>
      <c r="BA1" s="120"/>
      <c r="BB1" s="120"/>
    </row>
    <row r="2" spans="1:54" ht="12.75" customHeight="1">
      <c r="A2" s="120"/>
      <c r="B2" s="120"/>
      <c r="C2" s="120"/>
      <c r="D2" s="120" t="s">
        <v>192</v>
      </c>
      <c r="E2" s="120"/>
      <c r="F2" s="120"/>
      <c r="G2" s="120"/>
      <c r="H2" s="120"/>
      <c r="I2" s="120"/>
      <c r="J2" s="120"/>
      <c r="K2" s="120"/>
      <c r="L2" s="120"/>
      <c r="M2" s="120" t="s">
        <v>288</v>
      </c>
      <c r="N2" s="120"/>
      <c r="O2" s="120"/>
      <c r="P2" s="120"/>
      <c r="Q2" s="120"/>
      <c r="R2" s="120"/>
      <c r="S2" s="160"/>
      <c r="T2" s="160"/>
      <c r="U2" s="160"/>
      <c r="V2" s="160"/>
      <c r="W2" s="160"/>
      <c r="X2" s="160"/>
      <c r="Y2" s="160"/>
      <c r="Z2" s="160"/>
      <c r="AA2" s="160"/>
      <c r="AB2" s="120" t="s">
        <v>325</v>
      </c>
      <c r="AC2" s="120"/>
      <c r="AD2" s="120"/>
      <c r="AE2" s="120"/>
      <c r="AF2" s="120"/>
      <c r="AG2" s="120"/>
      <c r="AH2" s="120"/>
      <c r="AI2" s="120"/>
      <c r="AJ2" s="120"/>
      <c r="AK2" s="120" t="s">
        <v>325</v>
      </c>
      <c r="AL2" s="120"/>
      <c r="AM2" s="120"/>
      <c r="AN2" s="120"/>
      <c r="AO2" s="120"/>
      <c r="AP2" s="120"/>
      <c r="AQ2" s="120"/>
      <c r="AR2" s="120"/>
      <c r="AS2" s="120"/>
      <c r="AT2" s="160" t="s">
        <v>530</v>
      </c>
      <c r="AU2" s="120"/>
      <c r="AV2" s="120"/>
      <c r="AW2" s="120"/>
      <c r="AX2" s="120"/>
      <c r="AY2" s="120"/>
      <c r="AZ2" s="120"/>
      <c r="BA2" s="120"/>
      <c r="BB2" s="120"/>
    </row>
    <row r="3" spans="1:54" ht="12.75" customHeight="1">
      <c r="A3" s="120"/>
      <c r="B3" s="120"/>
      <c r="C3" s="120"/>
      <c r="D3" s="120" t="s">
        <v>193</v>
      </c>
      <c r="E3" s="120"/>
      <c r="F3" s="120"/>
      <c r="G3" s="120"/>
      <c r="H3" s="120"/>
      <c r="I3" s="120"/>
      <c r="J3" s="120"/>
      <c r="K3" s="120"/>
      <c r="L3" s="120"/>
      <c r="M3" s="120" t="s">
        <v>289</v>
      </c>
      <c r="N3" s="120"/>
      <c r="O3" s="120"/>
      <c r="P3" s="120"/>
      <c r="Q3" s="120"/>
      <c r="R3" s="120"/>
      <c r="S3" s="120" t="s">
        <v>325</v>
      </c>
      <c r="T3" s="120"/>
      <c r="U3" s="120"/>
      <c r="V3" s="120"/>
      <c r="W3" s="120"/>
      <c r="X3" s="120"/>
      <c r="Y3" s="120"/>
      <c r="Z3" s="120"/>
      <c r="AA3" s="120"/>
      <c r="AB3" s="120" t="s">
        <v>324</v>
      </c>
      <c r="AC3" s="120"/>
      <c r="AD3" s="120"/>
      <c r="AE3" s="120"/>
      <c r="AF3" s="120"/>
      <c r="AG3" s="120"/>
      <c r="AH3" s="120"/>
      <c r="AI3" s="120"/>
      <c r="AJ3" s="120"/>
      <c r="AK3" s="120" t="s">
        <v>324</v>
      </c>
      <c r="AL3" s="120"/>
      <c r="AM3" s="120"/>
      <c r="AN3" s="120"/>
      <c r="AO3" s="120"/>
      <c r="AP3" s="120"/>
      <c r="AQ3" s="120"/>
      <c r="AR3" s="120"/>
      <c r="AS3" s="120"/>
      <c r="AT3" s="160" t="s">
        <v>532</v>
      </c>
      <c r="AU3" s="120"/>
      <c r="AV3" s="120"/>
      <c r="AW3" s="120"/>
      <c r="AX3" s="120"/>
      <c r="AY3" s="120"/>
      <c r="AZ3" s="120"/>
      <c r="BA3" s="120"/>
      <c r="BB3" s="120"/>
    </row>
    <row r="4" spans="1:54" ht="12.7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 t="s">
        <v>324</v>
      </c>
      <c r="T4" s="120"/>
      <c r="U4" s="120"/>
      <c r="V4" s="120"/>
      <c r="W4" s="120"/>
      <c r="X4" s="120"/>
      <c r="Y4" s="120"/>
      <c r="Z4" s="120"/>
      <c r="AA4" s="120"/>
      <c r="AB4" s="120" t="s">
        <v>326</v>
      </c>
      <c r="AC4" s="120"/>
      <c r="AD4" s="120"/>
      <c r="AE4" s="120"/>
      <c r="AF4" s="120"/>
      <c r="AG4" s="120"/>
      <c r="AH4" s="120"/>
      <c r="AI4" s="120"/>
      <c r="AJ4" s="120"/>
      <c r="AK4" s="120" t="s">
        <v>326</v>
      </c>
      <c r="AL4" s="120"/>
      <c r="AM4" s="120"/>
      <c r="AN4" s="120"/>
      <c r="AO4" s="120"/>
      <c r="AP4" s="120"/>
      <c r="AQ4" s="120"/>
      <c r="AR4" s="120"/>
      <c r="AS4" s="120"/>
      <c r="AT4" s="160"/>
      <c r="AU4" s="120" t="s">
        <v>400</v>
      </c>
      <c r="AV4" s="120"/>
      <c r="AW4" s="120"/>
      <c r="AX4" s="120"/>
      <c r="AY4" s="254" t="s">
        <v>72</v>
      </c>
      <c r="AZ4" s="254" t="s">
        <v>555</v>
      </c>
      <c r="BA4" s="120"/>
      <c r="BB4" s="120"/>
    </row>
    <row r="5" spans="1:54" ht="12.75" customHeight="1">
      <c r="A5" s="120"/>
      <c r="B5" s="120"/>
      <c r="C5" s="120" t="s">
        <v>194</v>
      </c>
      <c r="D5" s="120"/>
      <c r="E5" s="120"/>
      <c r="F5" s="120"/>
      <c r="G5" s="120"/>
      <c r="H5" s="120"/>
      <c r="I5" s="120"/>
      <c r="J5" s="120"/>
      <c r="K5" s="120"/>
      <c r="L5" s="120" t="s">
        <v>194</v>
      </c>
      <c r="M5" s="120"/>
      <c r="N5" s="120"/>
      <c r="O5" s="120"/>
      <c r="P5" s="120"/>
      <c r="Q5" s="120"/>
      <c r="R5" s="120"/>
      <c r="S5" s="120" t="s">
        <v>326</v>
      </c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45"/>
      <c r="AU5" s="146" t="s">
        <v>405</v>
      </c>
      <c r="AV5" s="146"/>
      <c r="AW5" s="146"/>
      <c r="AX5" s="146"/>
      <c r="AY5" s="146"/>
      <c r="AZ5" s="145" t="s">
        <v>406</v>
      </c>
      <c r="BA5" s="145" t="s">
        <v>407</v>
      </c>
      <c r="BB5" s="143" t="s">
        <v>364</v>
      </c>
    </row>
    <row r="6" spans="1:54" ht="12.75" customHeight="1">
      <c r="A6" s="120"/>
      <c r="B6" s="120"/>
      <c r="C6" s="120"/>
      <c r="D6" s="277" t="s">
        <v>586</v>
      </c>
      <c r="E6" s="277"/>
      <c r="F6" s="120"/>
      <c r="G6" s="120"/>
      <c r="H6" s="120"/>
      <c r="I6" s="120"/>
      <c r="J6" s="120"/>
      <c r="K6" s="120"/>
      <c r="L6" s="120"/>
      <c r="M6" s="277" t="s">
        <v>586</v>
      </c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59"/>
      <c r="AU6" s="160"/>
      <c r="AV6" s="160"/>
      <c r="AW6" s="160"/>
      <c r="AX6" s="160"/>
      <c r="AY6" s="160"/>
      <c r="AZ6" s="159" t="s">
        <v>413</v>
      </c>
      <c r="BA6" s="159" t="s">
        <v>177</v>
      </c>
      <c r="BB6" s="173" t="s">
        <v>80</v>
      </c>
    </row>
    <row r="7" spans="1:54" ht="12.75" customHeight="1">
      <c r="A7" s="120" t="s">
        <v>528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59"/>
      <c r="AU7" s="160"/>
      <c r="AV7" s="160"/>
      <c r="AW7" s="160"/>
      <c r="AX7" s="160"/>
      <c r="AY7" s="160"/>
      <c r="AZ7" s="103" t="s">
        <v>178</v>
      </c>
      <c r="BA7" s="103"/>
      <c r="BB7" s="144" t="s">
        <v>81</v>
      </c>
    </row>
    <row r="8" spans="1:54" ht="12.75" customHeight="1">
      <c r="A8" s="120" t="s">
        <v>196</v>
      </c>
      <c r="B8" s="120"/>
      <c r="C8" s="120"/>
      <c r="D8" s="120"/>
      <c r="E8" s="120"/>
      <c r="F8" s="120"/>
      <c r="G8" s="120"/>
      <c r="H8" s="120"/>
      <c r="I8" s="120"/>
      <c r="J8" s="120" t="s">
        <v>528</v>
      </c>
      <c r="K8" s="120"/>
      <c r="L8" s="120"/>
      <c r="M8" s="120"/>
      <c r="N8" s="120"/>
      <c r="O8" s="120"/>
      <c r="P8" s="120"/>
      <c r="Q8" s="120"/>
      <c r="R8" s="120"/>
      <c r="S8" s="120" t="s">
        <v>357</v>
      </c>
      <c r="T8" s="120"/>
      <c r="U8" s="120"/>
      <c r="V8" s="120"/>
      <c r="W8" s="120"/>
      <c r="X8" s="120"/>
      <c r="Y8" s="120"/>
      <c r="Z8" s="120"/>
      <c r="AA8" s="120"/>
      <c r="AB8" s="120" t="s">
        <v>357</v>
      </c>
      <c r="AC8" s="120"/>
      <c r="AD8" s="120"/>
      <c r="AE8" s="120"/>
      <c r="AF8" s="120"/>
      <c r="AG8" s="120"/>
      <c r="AH8" s="120"/>
      <c r="AI8" s="120"/>
      <c r="AJ8" s="120"/>
      <c r="AK8" s="120" t="s">
        <v>357</v>
      </c>
      <c r="AL8" s="120"/>
      <c r="AM8" s="120"/>
      <c r="AN8" s="120"/>
      <c r="AO8" s="120"/>
      <c r="AP8" s="120"/>
      <c r="AQ8" s="120"/>
      <c r="AR8" s="120"/>
      <c r="AS8" s="120"/>
      <c r="AT8" s="145" t="s">
        <v>45</v>
      </c>
      <c r="AU8" s="146"/>
      <c r="AV8" s="146"/>
      <c r="AW8" s="146"/>
      <c r="AX8" s="146"/>
      <c r="AY8" s="147"/>
      <c r="AZ8" s="187">
        <f>I16+I17+I20+I22+I77</f>
        <v>8031867.199999999</v>
      </c>
      <c r="BA8" s="278"/>
      <c r="BB8" s="279">
        <f>BB9+BB14</f>
        <v>11966332.252940001</v>
      </c>
    </row>
    <row r="9" spans="1:54" ht="12.75" customHeight="1">
      <c r="A9" s="120" t="s">
        <v>198</v>
      </c>
      <c r="B9" s="120"/>
      <c r="C9" s="120"/>
      <c r="D9" s="120"/>
      <c r="E9" s="120"/>
      <c r="F9" s="120" t="s">
        <v>197</v>
      </c>
      <c r="G9" s="120"/>
      <c r="H9" s="120"/>
      <c r="I9" s="120"/>
      <c r="J9" s="120" t="s">
        <v>196</v>
      </c>
      <c r="K9" s="120"/>
      <c r="L9" s="120"/>
      <c r="M9" s="120"/>
      <c r="N9" s="120"/>
      <c r="O9" s="120" t="s">
        <v>197</v>
      </c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255" t="s">
        <v>383</v>
      </c>
      <c r="AU9" s="256"/>
      <c r="AV9" s="256"/>
      <c r="AW9" s="256"/>
      <c r="AX9" s="146"/>
      <c r="AY9" s="147"/>
      <c r="AZ9" s="280">
        <f>AZ11+AZ12</f>
        <v>4057788</v>
      </c>
      <c r="BA9" s="281">
        <f>(BB12+BB11)/AZ9</f>
        <v>2.948527540418573</v>
      </c>
      <c r="BB9" s="279">
        <f>BB10+BB11+BB12+BB13</f>
        <v>11964499.67118</v>
      </c>
    </row>
    <row r="10" spans="1:54" ht="12.75" customHeight="1">
      <c r="A10" s="143" t="s">
        <v>335</v>
      </c>
      <c r="B10" s="171" t="s">
        <v>199</v>
      </c>
      <c r="C10" s="143" t="s">
        <v>200</v>
      </c>
      <c r="D10" s="224" t="s">
        <v>286</v>
      </c>
      <c r="E10" s="225"/>
      <c r="F10" s="143" t="s">
        <v>201</v>
      </c>
      <c r="G10" s="143" t="s">
        <v>404</v>
      </c>
      <c r="H10" s="143" t="s">
        <v>202</v>
      </c>
      <c r="I10" s="143" t="s">
        <v>191</v>
      </c>
      <c r="J10" s="120" t="s">
        <v>198</v>
      </c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277" t="s">
        <v>587</v>
      </c>
      <c r="Z10" s="120"/>
      <c r="AA10" s="120"/>
      <c r="AB10" s="120"/>
      <c r="AC10" s="120"/>
      <c r="AD10" s="120"/>
      <c r="AE10" s="120"/>
      <c r="AF10" s="120"/>
      <c r="AG10" s="120"/>
      <c r="AH10" s="277" t="s">
        <v>587</v>
      </c>
      <c r="AI10" s="120"/>
      <c r="AJ10" s="120"/>
      <c r="AK10" s="120"/>
      <c r="AL10" s="120"/>
      <c r="AM10" s="120"/>
      <c r="AN10" s="120"/>
      <c r="AO10" s="120"/>
      <c r="AP10" s="120"/>
      <c r="AQ10" s="277" t="s">
        <v>587</v>
      </c>
      <c r="AR10" s="120"/>
      <c r="AS10" s="120"/>
      <c r="AT10" s="145" t="s">
        <v>179</v>
      </c>
      <c r="AU10" s="146"/>
      <c r="AV10" s="146"/>
      <c r="AW10" s="146"/>
      <c r="AX10" s="146"/>
      <c r="AY10" s="147"/>
      <c r="AZ10" s="282"/>
      <c r="BA10" s="283">
        <v>0</v>
      </c>
      <c r="BB10" s="284">
        <f>AZ10*BA10</f>
        <v>0</v>
      </c>
    </row>
    <row r="11" spans="1:54" ht="12.75" customHeight="1">
      <c r="A11" s="173"/>
      <c r="B11" s="173"/>
      <c r="C11" s="173"/>
      <c r="D11" s="143" t="s">
        <v>203</v>
      </c>
      <c r="E11" s="145" t="s">
        <v>204</v>
      </c>
      <c r="F11" s="173" t="s">
        <v>205</v>
      </c>
      <c r="G11" s="173" t="s">
        <v>190</v>
      </c>
      <c r="H11" s="173"/>
      <c r="I11" s="173" t="s">
        <v>206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45" t="s">
        <v>180</v>
      </c>
      <c r="AU11" s="146"/>
      <c r="AV11" s="146"/>
      <c r="AW11" s="146"/>
      <c r="AX11" s="146"/>
      <c r="AY11" s="147"/>
      <c r="AZ11" s="155">
        <f>I81+I73</f>
        <v>1987</v>
      </c>
      <c r="BA11" s="285">
        <v>4.6785</v>
      </c>
      <c r="BB11" s="284">
        <f>AZ11*BA11</f>
        <v>9296.1795</v>
      </c>
    </row>
    <row r="12" spans="1:54" ht="12.75" customHeight="1">
      <c r="A12" s="144"/>
      <c r="B12" s="144"/>
      <c r="C12" s="144"/>
      <c r="D12" s="144" t="s">
        <v>207</v>
      </c>
      <c r="E12" s="103" t="s">
        <v>207</v>
      </c>
      <c r="F12" s="144" t="s">
        <v>208</v>
      </c>
      <c r="G12" s="144"/>
      <c r="H12" s="144"/>
      <c r="I12" s="144"/>
      <c r="J12" s="143" t="s">
        <v>335</v>
      </c>
      <c r="K12" s="171" t="s">
        <v>199</v>
      </c>
      <c r="L12" s="143" t="s">
        <v>200</v>
      </c>
      <c r="M12" s="224" t="s">
        <v>464</v>
      </c>
      <c r="N12" s="225"/>
      <c r="O12" s="143" t="s">
        <v>201</v>
      </c>
      <c r="P12" s="143" t="s">
        <v>404</v>
      </c>
      <c r="Q12" s="143" t="s">
        <v>202</v>
      </c>
      <c r="R12" s="143" t="s">
        <v>191</v>
      </c>
      <c r="S12" s="143" t="s">
        <v>335</v>
      </c>
      <c r="T12" s="145" t="s">
        <v>336</v>
      </c>
      <c r="U12" s="146"/>
      <c r="V12" s="147"/>
      <c r="W12" s="102" t="s">
        <v>337</v>
      </c>
      <c r="X12" s="150"/>
      <c r="Y12" s="150"/>
      <c r="Z12" s="150"/>
      <c r="AA12" s="151"/>
      <c r="AB12" s="143" t="s">
        <v>335</v>
      </c>
      <c r="AC12" s="145" t="s">
        <v>336</v>
      </c>
      <c r="AD12" s="146"/>
      <c r="AE12" s="147"/>
      <c r="AF12" s="102" t="s">
        <v>337</v>
      </c>
      <c r="AG12" s="150"/>
      <c r="AH12" s="150"/>
      <c r="AI12" s="150"/>
      <c r="AJ12" s="151"/>
      <c r="AK12" s="143" t="s">
        <v>335</v>
      </c>
      <c r="AL12" s="145" t="s">
        <v>336</v>
      </c>
      <c r="AM12" s="146"/>
      <c r="AN12" s="147"/>
      <c r="AO12" s="102" t="s">
        <v>337</v>
      </c>
      <c r="AP12" s="150"/>
      <c r="AQ12" s="150"/>
      <c r="AR12" s="150"/>
      <c r="AS12" s="151"/>
      <c r="AT12" s="145" t="s">
        <v>181</v>
      </c>
      <c r="AU12" s="146"/>
      <c r="AV12" s="146"/>
      <c r="AW12" s="146"/>
      <c r="AX12" s="146"/>
      <c r="AY12" s="147"/>
      <c r="AZ12" s="280">
        <f>I75</f>
        <v>4055801</v>
      </c>
      <c r="BA12" s="286">
        <v>2.94768</v>
      </c>
      <c r="BB12" s="284">
        <f>AZ12*BA12</f>
        <v>11955203.49168</v>
      </c>
    </row>
    <row r="13" spans="1:54" ht="12.75" customHeight="1">
      <c r="A13" s="152">
        <v>1</v>
      </c>
      <c r="B13" s="152">
        <v>2</v>
      </c>
      <c r="C13" s="152">
        <v>3</v>
      </c>
      <c r="D13" s="152">
        <v>4</v>
      </c>
      <c r="E13" s="152">
        <v>5</v>
      </c>
      <c r="F13" s="152">
        <v>6</v>
      </c>
      <c r="G13" s="152">
        <v>7</v>
      </c>
      <c r="H13" s="152">
        <v>8</v>
      </c>
      <c r="I13" s="152">
        <v>9</v>
      </c>
      <c r="J13" s="173"/>
      <c r="K13" s="173"/>
      <c r="L13" s="173"/>
      <c r="M13" s="143" t="s">
        <v>203</v>
      </c>
      <c r="N13" s="145" t="s">
        <v>204</v>
      </c>
      <c r="O13" s="173" t="s">
        <v>205</v>
      </c>
      <c r="P13" s="173" t="s">
        <v>190</v>
      </c>
      <c r="Q13" s="173"/>
      <c r="R13" s="173" t="s">
        <v>206</v>
      </c>
      <c r="S13" s="144"/>
      <c r="T13" s="103"/>
      <c r="U13" s="148"/>
      <c r="V13" s="149"/>
      <c r="W13" s="152" t="s">
        <v>338</v>
      </c>
      <c r="X13" s="152" t="s">
        <v>339</v>
      </c>
      <c r="Y13" s="152" t="s">
        <v>340</v>
      </c>
      <c r="Z13" s="152" t="s">
        <v>341</v>
      </c>
      <c r="AA13" s="152" t="s">
        <v>342</v>
      </c>
      <c r="AB13" s="144"/>
      <c r="AC13" s="103"/>
      <c r="AD13" s="148"/>
      <c r="AE13" s="149"/>
      <c r="AF13" s="152" t="s">
        <v>338</v>
      </c>
      <c r="AG13" s="152" t="s">
        <v>339</v>
      </c>
      <c r="AH13" s="152" t="s">
        <v>340</v>
      </c>
      <c r="AI13" s="152" t="s">
        <v>341</v>
      </c>
      <c r="AJ13" s="152" t="s">
        <v>342</v>
      </c>
      <c r="AK13" s="144"/>
      <c r="AL13" s="103"/>
      <c r="AM13" s="148"/>
      <c r="AN13" s="149"/>
      <c r="AO13" s="152" t="s">
        <v>338</v>
      </c>
      <c r="AP13" s="152" t="s">
        <v>339</v>
      </c>
      <c r="AQ13" s="152" t="s">
        <v>340</v>
      </c>
      <c r="AR13" s="152" t="s">
        <v>341</v>
      </c>
      <c r="AS13" s="152" t="s">
        <v>342</v>
      </c>
      <c r="AT13" s="102" t="s">
        <v>173</v>
      </c>
      <c r="AU13" s="150"/>
      <c r="AV13" s="150"/>
      <c r="AW13" s="150"/>
      <c r="AX13" s="150"/>
      <c r="AY13" s="151"/>
      <c r="AZ13" s="280"/>
      <c r="BA13" s="257"/>
      <c r="BB13" s="284">
        <f>BA13*AZ13</f>
        <v>0</v>
      </c>
    </row>
    <row r="14" spans="1:54" ht="12.75" customHeight="1">
      <c r="A14" s="103"/>
      <c r="B14" s="148"/>
      <c r="C14" s="320" t="s">
        <v>209</v>
      </c>
      <c r="D14" s="320"/>
      <c r="E14" s="148"/>
      <c r="F14" s="148"/>
      <c r="G14" s="148"/>
      <c r="H14" s="148"/>
      <c r="I14" s="149"/>
      <c r="J14" s="144"/>
      <c r="K14" s="144"/>
      <c r="L14" s="144"/>
      <c r="M14" s="144" t="s">
        <v>207</v>
      </c>
      <c r="N14" s="103" t="s">
        <v>207</v>
      </c>
      <c r="O14" s="144" t="s">
        <v>208</v>
      </c>
      <c r="P14" s="144"/>
      <c r="Q14" s="144"/>
      <c r="R14" s="144"/>
      <c r="S14" s="152">
        <v>1</v>
      </c>
      <c r="T14" s="96" t="s">
        <v>159</v>
      </c>
      <c r="U14" s="96"/>
      <c r="V14" s="96"/>
      <c r="W14" s="155">
        <f aca="true" t="shared" si="0" ref="W14:W25">SUM(X14:AA14)</f>
        <v>3771488</v>
      </c>
      <c r="X14" s="155">
        <f>SUM(X15:X26)</f>
        <v>3392757</v>
      </c>
      <c r="Y14" s="155">
        <f>SUM(Y15:Y27)</f>
        <v>0</v>
      </c>
      <c r="Z14" s="155">
        <f>SUM(Z15:Z26)</f>
        <v>378731</v>
      </c>
      <c r="AA14" s="152">
        <f>SUM(AA15:AA27)</f>
        <v>0</v>
      </c>
      <c r="AB14" s="152"/>
      <c r="AC14" s="96" t="s">
        <v>136</v>
      </c>
      <c r="AD14" s="96"/>
      <c r="AE14" s="96"/>
      <c r="AF14" s="163">
        <f>SUM(AG14:AJ14)</f>
        <v>153271</v>
      </c>
      <c r="AG14" s="155">
        <f>SUM(AG16:AG22)</f>
        <v>148159</v>
      </c>
      <c r="AH14" s="155">
        <f>SUM(AH16:AH22)</f>
        <v>0</v>
      </c>
      <c r="AI14" s="155">
        <f>SUM(AI16:AI22)</f>
        <v>5112</v>
      </c>
      <c r="AJ14" s="152">
        <f>SUM(AJ16:AJ22)</f>
        <v>0</v>
      </c>
      <c r="AK14" s="171">
        <v>1</v>
      </c>
      <c r="AL14" s="143" t="s">
        <v>136</v>
      </c>
      <c r="AM14" s="143"/>
      <c r="AN14" s="143"/>
      <c r="AO14" s="175">
        <f>SUM(AP14:AS14)</f>
        <v>49249</v>
      </c>
      <c r="AP14" s="175">
        <f>SUM(AP16:AP17)</f>
        <v>0</v>
      </c>
      <c r="AQ14" s="175">
        <f>SUM(AQ16:AQ17)</f>
        <v>0</v>
      </c>
      <c r="AR14" s="175">
        <f>ROUND(SUM(AR16:AR20),0)</f>
        <v>49249</v>
      </c>
      <c r="AS14" s="171">
        <f>SUM(AS16:AS17)</f>
        <v>0</v>
      </c>
      <c r="AT14" s="144" t="s">
        <v>423</v>
      </c>
      <c r="AU14" s="144"/>
      <c r="AV14" s="144"/>
      <c r="AW14" s="144"/>
      <c r="AX14" s="144"/>
      <c r="AY14" s="144"/>
      <c r="AZ14" s="280">
        <f>SUM(AZ15:AZ21)</f>
        <v>544</v>
      </c>
      <c r="BA14" s="287"/>
      <c r="BB14" s="284">
        <f>SUM(BB15:BB21)</f>
        <v>1832.58176</v>
      </c>
    </row>
    <row r="15" spans="1:54" ht="12.75" customHeight="1">
      <c r="A15" s="103"/>
      <c r="B15" s="102" t="s">
        <v>520</v>
      </c>
      <c r="C15" s="320"/>
      <c r="D15" s="320"/>
      <c r="E15" s="148"/>
      <c r="F15" s="148"/>
      <c r="G15" s="148"/>
      <c r="H15" s="148"/>
      <c r="I15" s="149"/>
      <c r="J15" s="152">
        <v>1</v>
      </c>
      <c r="K15" s="152">
        <v>2</v>
      </c>
      <c r="L15" s="152">
        <v>3</v>
      </c>
      <c r="M15" s="152">
        <v>4</v>
      </c>
      <c r="N15" s="152">
        <v>5</v>
      </c>
      <c r="O15" s="152">
        <v>6</v>
      </c>
      <c r="P15" s="152">
        <v>7</v>
      </c>
      <c r="Q15" s="152">
        <v>8</v>
      </c>
      <c r="R15" s="152">
        <v>9</v>
      </c>
      <c r="S15" s="170" t="s">
        <v>145</v>
      </c>
      <c r="T15" s="145" t="s">
        <v>121</v>
      </c>
      <c r="U15" s="146"/>
      <c r="V15" s="146"/>
      <c r="W15" s="163">
        <f t="shared" si="0"/>
        <v>2179634</v>
      </c>
      <c r="X15" s="193">
        <f>ROUND(I20,0)</f>
        <v>2179634</v>
      </c>
      <c r="Y15" s="171">
        <v>0</v>
      </c>
      <c r="Z15" s="171">
        <v>0</v>
      </c>
      <c r="AA15" s="171">
        <v>0</v>
      </c>
      <c r="AB15" s="171">
        <v>1</v>
      </c>
      <c r="AC15" s="145" t="s">
        <v>543</v>
      </c>
      <c r="AD15" s="146"/>
      <c r="AE15" s="147"/>
      <c r="AF15" s="162"/>
      <c r="AG15" s="165"/>
      <c r="AH15" s="165"/>
      <c r="AI15" s="165"/>
      <c r="AJ15" s="303"/>
      <c r="AK15" s="319"/>
      <c r="AL15" s="145" t="s">
        <v>545</v>
      </c>
      <c r="AM15" s="146"/>
      <c r="AN15" s="147"/>
      <c r="AO15" s="175"/>
      <c r="AP15" s="171"/>
      <c r="AQ15" s="171"/>
      <c r="AR15" s="175"/>
      <c r="AS15" s="171"/>
      <c r="AT15" s="147" t="s">
        <v>174</v>
      </c>
      <c r="AU15" s="143"/>
      <c r="AV15" s="143"/>
      <c r="AW15" s="143"/>
      <c r="AX15" s="143"/>
      <c r="AY15" s="143"/>
      <c r="AZ15" s="155">
        <f>AS57-AZ16</f>
        <v>0</v>
      </c>
      <c r="BA15" s="288"/>
      <c r="BB15" s="284">
        <f>AZ15*BA15</f>
        <v>0</v>
      </c>
    </row>
    <row r="16" spans="1:54" ht="12.75" customHeight="1">
      <c r="A16" s="171">
        <v>1</v>
      </c>
      <c r="B16" s="143" t="s">
        <v>249</v>
      </c>
      <c r="C16" s="197">
        <v>804152757</v>
      </c>
      <c r="D16" s="230">
        <v>4499.2748</v>
      </c>
      <c r="E16" s="230">
        <v>4570.7744</v>
      </c>
      <c r="F16" s="155">
        <v>36000</v>
      </c>
      <c r="G16" s="252">
        <f>E16-D16</f>
        <v>71.4996000000001</v>
      </c>
      <c r="H16" s="96"/>
      <c r="I16" s="155">
        <f>ROUND((F16*G16+H16),0)</f>
        <v>2573986</v>
      </c>
      <c r="J16" s="103"/>
      <c r="K16" s="148"/>
      <c r="L16" s="148" t="s">
        <v>209</v>
      </c>
      <c r="M16" s="148"/>
      <c r="N16" s="148"/>
      <c r="O16" s="148"/>
      <c r="P16" s="148"/>
      <c r="Q16" s="148"/>
      <c r="R16" s="149"/>
      <c r="S16" s="157" t="s">
        <v>146</v>
      </c>
      <c r="T16" s="159" t="s">
        <v>122</v>
      </c>
      <c r="U16" s="160"/>
      <c r="V16" s="160"/>
      <c r="W16" s="163">
        <f t="shared" si="0"/>
        <v>0</v>
      </c>
      <c r="X16" s="186">
        <f>ROUND(I27,0)</f>
        <v>0</v>
      </c>
      <c r="Y16" s="168">
        <v>0</v>
      </c>
      <c r="Z16" s="163">
        <v>0</v>
      </c>
      <c r="AA16" s="168">
        <v>0</v>
      </c>
      <c r="AB16" s="157" t="s">
        <v>145</v>
      </c>
      <c r="AC16" s="159" t="s">
        <v>343</v>
      </c>
      <c r="AD16" s="160"/>
      <c r="AE16" s="161"/>
      <c r="AF16" s="163">
        <f>AG16+AH16+AI16+AJ16</f>
        <v>148159</v>
      </c>
      <c r="AG16" s="163">
        <v>148159</v>
      </c>
      <c r="AH16" s="168">
        <v>0</v>
      </c>
      <c r="AI16" s="163">
        <v>0</v>
      </c>
      <c r="AJ16" s="192">
        <v>0</v>
      </c>
      <c r="AK16" s="157" t="s">
        <v>145</v>
      </c>
      <c r="AL16" s="159" t="s">
        <v>84</v>
      </c>
      <c r="AM16" s="160"/>
      <c r="AN16" s="161"/>
      <c r="AO16" s="163">
        <f>AP16+AQ16+AR16+AS16</f>
        <v>296</v>
      </c>
      <c r="AP16" s="168">
        <v>0</v>
      </c>
      <c r="AQ16" s="168">
        <v>0</v>
      </c>
      <c r="AR16" s="163">
        <v>296</v>
      </c>
      <c r="AS16" s="168">
        <v>0</v>
      </c>
      <c r="AT16" s="147" t="s">
        <v>174</v>
      </c>
      <c r="AU16" s="143"/>
      <c r="AV16" s="143"/>
      <c r="AW16" s="143"/>
      <c r="AX16" s="143"/>
      <c r="AY16" s="143"/>
      <c r="AZ16" s="155">
        <f>AS57/100*80</f>
        <v>0</v>
      </c>
      <c r="BA16" s="289"/>
      <c r="BB16" s="284">
        <f>AZ16*BA16</f>
        <v>0</v>
      </c>
    </row>
    <row r="17" spans="1:54" ht="12.75" customHeight="1">
      <c r="A17" s="144"/>
      <c r="B17" s="103" t="s">
        <v>250</v>
      </c>
      <c r="C17" s="213">
        <v>109054169</v>
      </c>
      <c r="D17" s="230">
        <v>6930.141</v>
      </c>
      <c r="E17" s="230">
        <v>7019.3132</v>
      </c>
      <c r="F17" s="155">
        <v>36000</v>
      </c>
      <c r="G17" s="252">
        <f>E17-D17</f>
        <v>89.17219999999998</v>
      </c>
      <c r="H17" s="96"/>
      <c r="I17" s="155">
        <f>F17*G17+H17</f>
        <v>3210199.1999999993</v>
      </c>
      <c r="J17" s="96"/>
      <c r="K17" s="102" t="s">
        <v>210</v>
      </c>
      <c r="L17" s="150"/>
      <c r="M17" s="150"/>
      <c r="N17" s="150"/>
      <c r="O17" s="150"/>
      <c r="P17" s="150"/>
      <c r="Q17" s="150"/>
      <c r="R17" s="151"/>
      <c r="S17" s="157" t="s">
        <v>147</v>
      </c>
      <c r="T17" s="159" t="s">
        <v>123</v>
      </c>
      <c r="U17" s="160"/>
      <c r="V17" s="160"/>
      <c r="W17" s="163">
        <f t="shared" si="0"/>
        <v>308654</v>
      </c>
      <c r="X17" s="186">
        <f>ROUND(I29,0)</f>
        <v>308654</v>
      </c>
      <c r="Y17" s="168">
        <v>0</v>
      </c>
      <c r="Z17" s="163">
        <v>0</v>
      </c>
      <c r="AA17" s="168">
        <v>0</v>
      </c>
      <c r="AB17" s="157" t="s">
        <v>146</v>
      </c>
      <c r="AC17" s="159" t="s">
        <v>172</v>
      </c>
      <c r="AD17" s="160"/>
      <c r="AE17" s="161"/>
      <c r="AF17" s="163">
        <f>AG17+AH17+AI17+AJ17</f>
        <v>2473</v>
      </c>
      <c r="AG17" s="168">
        <v>0</v>
      </c>
      <c r="AH17" s="168">
        <v>0</v>
      </c>
      <c r="AI17" s="163">
        <v>2473</v>
      </c>
      <c r="AJ17" s="192">
        <v>0</v>
      </c>
      <c r="AK17" s="157" t="s">
        <v>146</v>
      </c>
      <c r="AL17" s="159" t="s">
        <v>277</v>
      </c>
      <c r="AM17" s="160"/>
      <c r="AN17" s="161"/>
      <c r="AO17" s="163">
        <f>AP17+AQ17+AR17+AS17</f>
        <v>3826</v>
      </c>
      <c r="AP17" s="168">
        <v>0</v>
      </c>
      <c r="AQ17" s="168">
        <v>0</v>
      </c>
      <c r="AR17" s="163">
        <v>3826</v>
      </c>
      <c r="AS17" s="168">
        <v>0</v>
      </c>
      <c r="AT17" s="146" t="s">
        <v>141</v>
      </c>
      <c r="AU17" s="146"/>
      <c r="AV17" s="146"/>
      <c r="AW17" s="146"/>
      <c r="AX17" s="146"/>
      <c r="AY17" s="147"/>
      <c r="AZ17" s="280">
        <f>R21</f>
        <v>380</v>
      </c>
      <c r="BA17" s="290">
        <v>3.41</v>
      </c>
      <c r="BB17" s="284">
        <f>AZ17*BA17</f>
        <v>1295.8</v>
      </c>
    </row>
    <row r="18" spans="1:54" ht="12.75" customHeight="1">
      <c r="A18" s="102"/>
      <c r="B18" s="150"/>
      <c r="C18" s="148"/>
      <c r="D18" s="150"/>
      <c r="E18" s="150"/>
      <c r="F18" s="214" t="s">
        <v>212</v>
      </c>
      <c r="G18" s="150"/>
      <c r="H18" s="151"/>
      <c r="I18" s="155">
        <f>ROUND((I16+I17+I22),0)</f>
        <v>5850246</v>
      </c>
      <c r="J18" s="152">
        <v>1</v>
      </c>
      <c r="K18" s="102" t="s">
        <v>211</v>
      </c>
      <c r="L18" s="150"/>
      <c r="M18" s="150"/>
      <c r="N18" s="150"/>
      <c r="O18" s="150"/>
      <c r="P18" s="150"/>
      <c r="Q18" s="150"/>
      <c r="R18" s="151"/>
      <c r="S18" s="157" t="s">
        <v>148</v>
      </c>
      <c r="T18" s="159" t="s">
        <v>124</v>
      </c>
      <c r="U18" s="160"/>
      <c r="V18" s="160"/>
      <c r="W18" s="163">
        <f t="shared" si="0"/>
        <v>272918</v>
      </c>
      <c r="X18" s="186">
        <f>ROUND(I31,0)</f>
        <v>272918</v>
      </c>
      <c r="Y18" s="168">
        <v>0</v>
      </c>
      <c r="Z18" s="163">
        <v>0</v>
      </c>
      <c r="AA18" s="168">
        <v>0</v>
      </c>
      <c r="AB18" s="158" t="s">
        <v>147</v>
      </c>
      <c r="AC18" s="148" t="s">
        <v>156</v>
      </c>
      <c r="AD18" s="148"/>
      <c r="AE18" s="148"/>
      <c r="AF18" s="164">
        <f>AG18+AH18+AI18+AJ18</f>
        <v>2639</v>
      </c>
      <c r="AG18" s="169">
        <v>0</v>
      </c>
      <c r="AH18" s="169">
        <v>0</v>
      </c>
      <c r="AI18" s="164">
        <v>2639</v>
      </c>
      <c r="AJ18" s="318">
        <v>0</v>
      </c>
      <c r="AK18" s="157" t="s">
        <v>147</v>
      </c>
      <c r="AL18" s="159" t="s">
        <v>135</v>
      </c>
      <c r="AM18" s="160"/>
      <c r="AN18" s="161"/>
      <c r="AO18" s="163">
        <f>AP18+AQ18+AR18+AS18</f>
        <v>34978</v>
      </c>
      <c r="AP18" s="168">
        <v>0</v>
      </c>
      <c r="AQ18" s="168">
        <v>0</v>
      </c>
      <c r="AR18" s="163">
        <v>34978</v>
      </c>
      <c r="AS18" s="168">
        <v>0</v>
      </c>
      <c r="AT18" s="146" t="s">
        <v>142</v>
      </c>
      <c r="AU18" s="146"/>
      <c r="AV18" s="146"/>
      <c r="AW18" s="146"/>
      <c r="AX18" s="146"/>
      <c r="AY18" s="147"/>
      <c r="AZ18" s="280">
        <f>R22</f>
        <v>100</v>
      </c>
      <c r="BA18" s="290">
        <v>1.35</v>
      </c>
      <c r="BB18" s="284">
        <f>AZ18*BA18</f>
        <v>135</v>
      </c>
    </row>
    <row r="19" spans="1:54" ht="12.75" customHeight="1">
      <c r="A19" s="96" t="s">
        <v>213</v>
      </c>
      <c r="B19" s="102" t="s">
        <v>466</v>
      </c>
      <c r="C19" s="150"/>
      <c r="D19" s="150"/>
      <c r="E19" s="150"/>
      <c r="F19" s="150"/>
      <c r="G19" s="150"/>
      <c r="H19" s="150"/>
      <c r="I19" s="151"/>
      <c r="J19" s="171" t="s">
        <v>213</v>
      </c>
      <c r="K19" s="143" t="s">
        <v>290</v>
      </c>
      <c r="L19" s="171">
        <v>16654</v>
      </c>
      <c r="M19" s="234">
        <v>5294</v>
      </c>
      <c r="N19" s="234">
        <v>5358</v>
      </c>
      <c r="O19" s="171">
        <v>1</v>
      </c>
      <c r="P19" s="258">
        <f>N19-M19</f>
        <v>64</v>
      </c>
      <c r="Q19" s="259"/>
      <c r="R19" s="175">
        <f>O19*P19+Q19</f>
        <v>64</v>
      </c>
      <c r="S19" s="157" t="s">
        <v>153</v>
      </c>
      <c r="T19" s="159" t="s">
        <v>125</v>
      </c>
      <c r="U19" s="160"/>
      <c r="V19" s="160"/>
      <c r="W19" s="163">
        <f t="shared" si="0"/>
        <v>0</v>
      </c>
      <c r="X19" s="186">
        <f>ROUND(I33,0)</f>
        <v>0</v>
      </c>
      <c r="Y19" s="168">
        <v>0</v>
      </c>
      <c r="Z19" s="168">
        <v>0</v>
      </c>
      <c r="AA19" s="168">
        <v>0</v>
      </c>
      <c r="AB19" s="179"/>
      <c r="AC19" s="160"/>
      <c r="AD19" s="160"/>
      <c r="AE19" s="160"/>
      <c r="AF19" s="180"/>
      <c r="AG19" s="181"/>
      <c r="AH19" s="181"/>
      <c r="AI19" s="180"/>
      <c r="AJ19" s="181"/>
      <c r="AK19" s="157" t="s">
        <v>148</v>
      </c>
      <c r="AL19" s="159" t="s">
        <v>158</v>
      </c>
      <c r="AM19" s="160"/>
      <c r="AN19" s="161"/>
      <c r="AO19" s="163">
        <f>AP19+AQ19+AR19+AS19</f>
        <v>293</v>
      </c>
      <c r="AP19" s="163">
        <v>0</v>
      </c>
      <c r="AQ19" s="168">
        <v>0</v>
      </c>
      <c r="AR19" s="163">
        <v>293</v>
      </c>
      <c r="AS19" s="168">
        <v>0</v>
      </c>
      <c r="AT19" s="146" t="s">
        <v>182</v>
      </c>
      <c r="AU19" s="146"/>
      <c r="AV19" s="146"/>
      <c r="AW19" s="146"/>
      <c r="AX19" s="146"/>
      <c r="AY19" s="147"/>
      <c r="AZ19" s="291">
        <f>R19+R20</f>
        <v>64</v>
      </c>
      <c r="BA19" s="285">
        <v>6.27784</v>
      </c>
      <c r="BB19" s="284">
        <f>AZ19*BA19</f>
        <v>401.78176</v>
      </c>
    </row>
    <row r="20" spans="1:54" ht="12.75" customHeight="1">
      <c r="A20" s="96" t="s">
        <v>215</v>
      </c>
      <c r="B20" s="96" t="s">
        <v>216</v>
      </c>
      <c r="C20" s="213">
        <v>109053225</v>
      </c>
      <c r="D20" s="230">
        <v>18569.6621</v>
      </c>
      <c r="E20" s="230">
        <v>18673.4542</v>
      </c>
      <c r="F20" s="155">
        <v>21000</v>
      </c>
      <c r="G20" s="252">
        <f>E20-D20</f>
        <v>103.79209999999875</v>
      </c>
      <c r="H20" s="96"/>
      <c r="I20" s="155">
        <f>ROUND((F20*G20+H20),0)</f>
        <v>2179634</v>
      </c>
      <c r="J20" s="144"/>
      <c r="K20" s="144" t="s">
        <v>291</v>
      </c>
      <c r="L20" s="144"/>
      <c r="M20" s="144"/>
      <c r="N20" s="144"/>
      <c r="O20" s="144"/>
      <c r="P20" s="185"/>
      <c r="Q20" s="260"/>
      <c r="R20" s="276"/>
      <c r="S20" s="157" t="s">
        <v>157</v>
      </c>
      <c r="T20" s="159" t="s">
        <v>126</v>
      </c>
      <c r="U20" s="160"/>
      <c r="V20" s="160"/>
      <c r="W20" s="163">
        <f t="shared" si="0"/>
        <v>247722</v>
      </c>
      <c r="X20" s="186">
        <f>ROUND(I35,0)</f>
        <v>247722</v>
      </c>
      <c r="Y20" s="168">
        <v>0</v>
      </c>
      <c r="Z20" s="163">
        <v>0</v>
      </c>
      <c r="AA20" s="168">
        <v>0</v>
      </c>
      <c r="AB20" s="179"/>
      <c r="AC20" s="160"/>
      <c r="AD20" s="160"/>
      <c r="AE20" s="160"/>
      <c r="AF20" s="180"/>
      <c r="AG20" s="180"/>
      <c r="AH20" s="181"/>
      <c r="AI20" s="180"/>
      <c r="AJ20" s="181"/>
      <c r="AK20" s="158" t="s">
        <v>153</v>
      </c>
      <c r="AL20" s="103" t="s">
        <v>544</v>
      </c>
      <c r="AM20" s="148"/>
      <c r="AN20" s="149"/>
      <c r="AO20" s="164">
        <f>AP20+AQ20+AR20+AS20</f>
        <v>9856</v>
      </c>
      <c r="AP20" s="164"/>
      <c r="AQ20" s="169"/>
      <c r="AR20" s="164">
        <v>9856</v>
      </c>
      <c r="AS20" s="169"/>
      <c r="AT20" s="146" t="s">
        <v>416</v>
      </c>
      <c r="AU20" s="146"/>
      <c r="AV20" s="146"/>
      <c r="AW20" s="146"/>
      <c r="AX20" s="146"/>
      <c r="AY20" s="147"/>
      <c r="AZ20" s="280"/>
      <c r="BA20" s="290"/>
      <c r="BB20" s="279"/>
    </row>
    <row r="21" spans="1:54" ht="12.75" customHeight="1">
      <c r="A21" s="96" t="s">
        <v>521</v>
      </c>
      <c r="B21" s="150" t="s">
        <v>524</v>
      </c>
      <c r="C21" s="148"/>
      <c r="D21" s="150"/>
      <c r="E21" s="150"/>
      <c r="F21" s="214"/>
      <c r="G21" s="150"/>
      <c r="H21" s="151"/>
      <c r="I21" s="155"/>
      <c r="J21" s="143" t="s">
        <v>219</v>
      </c>
      <c r="K21" s="143" t="s">
        <v>293</v>
      </c>
      <c r="L21" s="377">
        <v>122848480</v>
      </c>
      <c r="M21" s="376">
        <v>457</v>
      </c>
      <c r="N21" s="376">
        <v>476</v>
      </c>
      <c r="O21" s="152">
        <v>20</v>
      </c>
      <c r="P21" s="375">
        <f>N21-M21</f>
        <v>19</v>
      </c>
      <c r="Q21" s="261"/>
      <c r="R21" s="155">
        <f>O21*P21+Q21</f>
        <v>380</v>
      </c>
      <c r="S21" s="157" t="s">
        <v>161</v>
      </c>
      <c r="T21" s="159" t="s">
        <v>127</v>
      </c>
      <c r="U21" s="160"/>
      <c r="V21" s="160"/>
      <c r="W21" s="163">
        <f t="shared" si="0"/>
        <v>155665</v>
      </c>
      <c r="X21" s="186">
        <f>ROUND(I37,0)</f>
        <v>155665</v>
      </c>
      <c r="Y21" s="168">
        <v>0</v>
      </c>
      <c r="Z21" s="163">
        <v>0</v>
      </c>
      <c r="AA21" s="168">
        <v>0</v>
      </c>
      <c r="AB21" s="179"/>
      <c r="AC21" s="160"/>
      <c r="AD21" s="160"/>
      <c r="AE21" s="160"/>
      <c r="AF21" s="180"/>
      <c r="AG21" s="180"/>
      <c r="AH21" s="181"/>
      <c r="AI21" s="180"/>
      <c r="AJ21" s="181"/>
      <c r="AK21" s="179"/>
      <c r="AL21" s="160"/>
      <c r="AM21" s="160"/>
      <c r="AN21" s="160"/>
      <c r="AO21" s="180"/>
      <c r="AP21" s="181"/>
      <c r="AQ21" s="182"/>
      <c r="AR21" s="180"/>
      <c r="AS21" s="181"/>
      <c r="AT21" s="102"/>
      <c r="AU21" s="146"/>
      <c r="AV21" s="146"/>
      <c r="AW21" s="146"/>
      <c r="AX21" s="146"/>
      <c r="AY21" s="147"/>
      <c r="AZ21" s="280"/>
      <c r="BA21" s="290"/>
      <c r="BB21" s="279"/>
    </row>
    <row r="22" spans="1:54" ht="12.75" customHeight="1">
      <c r="A22" s="96" t="s">
        <v>522</v>
      </c>
      <c r="B22" s="102" t="s">
        <v>525</v>
      </c>
      <c r="C22" s="150"/>
      <c r="D22" s="150"/>
      <c r="E22" s="150"/>
      <c r="F22" s="150"/>
      <c r="G22" s="150"/>
      <c r="H22" s="151"/>
      <c r="I22" s="280">
        <v>66061</v>
      </c>
      <c r="J22" s="144"/>
      <c r="K22" s="144" t="s">
        <v>292</v>
      </c>
      <c r="L22" s="377">
        <v>122848480</v>
      </c>
      <c r="M22" s="376">
        <v>126</v>
      </c>
      <c r="N22" s="376">
        <v>131</v>
      </c>
      <c r="O22" s="152">
        <v>20</v>
      </c>
      <c r="P22" s="375">
        <f>N22-M22</f>
        <v>5</v>
      </c>
      <c r="Q22" s="261"/>
      <c r="R22" s="155">
        <f>O22*P22+Q22</f>
        <v>100</v>
      </c>
      <c r="S22" s="157" t="s">
        <v>162</v>
      </c>
      <c r="T22" s="159" t="s">
        <v>128</v>
      </c>
      <c r="U22" s="160"/>
      <c r="V22" s="160"/>
      <c r="W22" s="163">
        <f t="shared" si="0"/>
        <v>228164</v>
      </c>
      <c r="X22" s="186">
        <f>ROUND(I39,0)</f>
        <v>228164</v>
      </c>
      <c r="Y22" s="168">
        <v>0</v>
      </c>
      <c r="Z22" s="168">
        <v>0</v>
      </c>
      <c r="AA22" s="168">
        <v>0</v>
      </c>
      <c r="AB22" s="179"/>
      <c r="AC22" s="160"/>
      <c r="AD22" s="160"/>
      <c r="AE22" s="160"/>
      <c r="AF22" s="180"/>
      <c r="AG22" s="181"/>
      <c r="AH22" s="181"/>
      <c r="AI22" s="180"/>
      <c r="AJ22" s="181"/>
      <c r="AK22" s="179"/>
      <c r="AL22" s="160"/>
      <c r="AM22" s="160"/>
      <c r="AN22" s="160"/>
      <c r="AO22" s="180"/>
      <c r="AP22" s="181"/>
      <c r="AQ22" s="182"/>
      <c r="AR22" s="180"/>
      <c r="AS22" s="181"/>
      <c r="AT22" s="255" t="s">
        <v>22</v>
      </c>
      <c r="AU22" s="256"/>
      <c r="AV22" s="256"/>
      <c r="AW22" s="256"/>
      <c r="AX22" s="146"/>
      <c r="AY22" s="147"/>
      <c r="AZ22" s="280"/>
      <c r="BA22" s="293"/>
      <c r="BB22" s="294"/>
    </row>
    <row r="23" spans="1:54" ht="12.75" customHeight="1">
      <c r="A23" s="102"/>
      <c r="B23" s="102"/>
      <c r="C23" s="371"/>
      <c r="D23" s="372"/>
      <c r="E23" s="372"/>
      <c r="F23" s="373"/>
      <c r="G23" s="374"/>
      <c r="H23" s="151"/>
      <c r="I23" s="280"/>
      <c r="J23" s="102"/>
      <c r="K23" s="245"/>
      <c r="L23" s="245"/>
      <c r="M23" s="245"/>
      <c r="N23" s="245"/>
      <c r="O23" s="245"/>
      <c r="P23" s="246" t="s">
        <v>274</v>
      </c>
      <c r="Q23" s="247"/>
      <c r="R23" s="155">
        <f>R19+R21+R22+R20</f>
        <v>544</v>
      </c>
      <c r="S23" s="157" t="s">
        <v>163</v>
      </c>
      <c r="T23" s="159" t="s">
        <v>129</v>
      </c>
      <c r="U23" s="160"/>
      <c r="V23" s="160"/>
      <c r="W23" s="163">
        <f t="shared" si="0"/>
        <v>291006</v>
      </c>
      <c r="X23" s="186">
        <v>0</v>
      </c>
      <c r="Y23" s="168">
        <v>0</v>
      </c>
      <c r="Z23" s="163">
        <f>I26+I25</f>
        <v>291006</v>
      </c>
      <c r="AA23" s="168">
        <v>0</v>
      </c>
      <c r="AB23" s="179"/>
      <c r="AC23" s="160"/>
      <c r="AD23" s="160"/>
      <c r="AE23" s="160"/>
      <c r="AF23" s="180"/>
      <c r="AG23" s="181"/>
      <c r="AH23" s="182"/>
      <c r="AI23" s="180"/>
      <c r="AJ23" s="181"/>
      <c r="AK23" s="179"/>
      <c r="AL23" s="160"/>
      <c r="AM23" s="160"/>
      <c r="AN23" s="160"/>
      <c r="AO23" s="180"/>
      <c r="AP23" s="181"/>
      <c r="AQ23" s="182"/>
      <c r="AR23" s="180"/>
      <c r="AS23" s="181"/>
      <c r="AT23" s="145" t="s">
        <v>23</v>
      </c>
      <c r="AU23" s="146"/>
      <c r="AV23" s="146"/>
      <c r="AW23" s="146"/>
      <c r="AX23" s="146"/>
      <c r="AY23" s="147"/>
      <c r="AZ23" s="280"/>
      <c r="BA23" s="293"/>
      <c r="BB23" s="279"/>
    </row>
    <row r="24" spans="1:54" ht="12.75" customHeight="1">
      <c r="A24" s="96" t="s">
        <v>219</v>
      </c>
      <c r="B24" s="103" t="s">
        <v>220</v>
      </c>
      <c r="C24" s="148"/>
      <c r="D24" s="148"/>
      <c r="E24" s="148"/>
      <c r="F24" s="148"/>
      <c r="G24" s="148"/>
      <c r="H24" s="148"/>
      <c r="I24" s="151"/>
      <c r="J24" s="145"/>
      <c r="K24" s="146"/>
      <c r="L24" s="146"/>
      <c r="M24" s="146"/>
      <c r="N24" s="146"/>
      <c r="O24" s="146"/>
      <c r="P24" s="248"/>
      <c r="Q24" s="249"/>
      <c r="R24" s="250"/>
      <c r="S24" s="157" t="s">
        <v>164</v>
      </c>
      <c r="T24" s="160" t="s">
        <v>130</v>
      </c>
      <c r="U24" s="160"/>
      <c r="V24" s="160"/>
      <c r="W24" s="163">
        <f t="shared" si="0"/>
        <v>33639</v>
      </c>
      <c r="X24" s="186">
        <v>0</v>
      </c>
      <c r="Y24" s="168">
        <v>0</v>
      </c>
      <c r="Z24" s="163">
        <f>I41</f>
        <v>33639</v>
      </c>
      <c r="AA24" s="168">
        <v>0</v>
      </c>
      <c r="AB24" s="153"/>
      <c r="AC24" s="120" t="s">
        <v>189</v>
      </c>
      <c r="AD24" s="120"/>
      <c r="AE24" s="120"/>
      <c r="AF24" s="154"/>
      <c r="AG24" s="154"/>
      <c r="AH24" s="154"/>
      <c r="AI24" s="154"/>
      <c r="AJ24" s="154"/>
      <c r="AK24" s="153"/>
      <c r="AL24" s="120" t="s">
        <v>278</v>
      </c>
      <c r="AM24" s="120"/>
      <c r="AN24" s="120"/>
      <c r="AO24" s="154"/>
      <c r="AP24" s="154"/>
      <c r="AQ24" s="154"/>
      <c r="AR24" s="154"/>
      <c r="AS24" s="154"/>
      <c r="AT24" s="262" t="s">
        <v>139</v>
      </c>
      <c r="AU24" s="245"/>
      <c r="AV24" s="245"/>
      <c r="AW24" s="245"/>
      <c r="AX24" s="245"/>
      <c r="AY24" s="263"/>
      <c r="AZ24" s="295"/>
      <c r="BA24" s="287"/>
      <c r="BB24" s="284"/>
    </row>
    <row r="25" spans="1:54" ht="12.75" customHeight="1">
      <c r="A25" s="143" t="s">
        <v>221</v>
      </c>
      <c r="B25" s="143" t="s">
        <v>224</v>
      </c>
      <c r="C25" s="197"/>
      <c r="D25" s="323"/>
      <c r="E25" s="323"/>
      <c r="F25" s="164"/>
      <c r="G25" s="324"/>
      <c r="H25" s="164"/>
      <c r="I25" s="164"/>
      <c r="J25" s="159" t="s">
        <v>275</v>
      </c>
      <c r="K25" s="160"/>
      <c r="L25" s="160"/>
      <c r="M25" s="160"/>
      <c r="N25" s="160"/>
      <c r="O25" s="160"/>
      <c r="P25" s="190"/>
      <c r="Q25" s="238"/>
      <c r="R25" s="251"/>
      <c r="S25" s="157" t="s">
        <v>165</v>
      </c>
      <c r="T25" s="160" t="s">
        <v>131</v>
      </c>
      <c r="U25" s="160"/>
      <c r="V25" s="160"/>
      <c r="W25" s="163">
        <f t="shared" si="0"/>
        <v>44333</v>
      </c>
      <c r="X25" s="186">
        <v>0</v>
      </c>
      <c r="Y25" s="168">
        <v>0</v>
      </c>
      <c r="Z25" s="163">
        <f>I43</f>
        <v>44333</v>
      </c>
      <c r="AA25" s="168">
        <v>0</v>
      </c>
      <c r="AB25" s="153"/>
      <c r="AC25" s="120" t="s">
        <v>533</v>
      </c>
      <c r="AD25" s="120"/>
      <c r="AE25" s="120"/>
      <c r="AF25" s="120"/>
      <c r="AG25" s="120"/>
      <c r="AH25" s="120"/>
      <c r="AI25" s="120"/>
      <c r="AJ25" s="120"/>
      <c r="AK25" s="153"/>
      <c r="AL25" s="120" t="s">
        <v>533</v>
      </c>
      <c r="AM25" s="120"/>
      <c r="AN25" s="120"/>
      <c r="AO25" s="120"/>
      <c r="AP25" s="120"/>
      <c r="AQ25" s="120"/>
      <c r="AR25" s="120"/>
      <c r="AS25" s="120"/>
      <c r="AT25" s="103" t="s">
        <v>183</v>
      </c>
      <c r="AU25" s="148"/>
      <c r="AV25" s="148"/>
      <c r="AW25" s="148"/>
      <c r="AX25" s="148"/>
      <c r="AY25" s="149"/>
      <c r="AZ25" s="296">
        <v>7.91</v>
      </c>
      <c r="BA25" s="297">
        <v>35268</v>
      </c>
      <c r="BB25" s="284">
        <f>AZ25*BA25</f>
        <v>278969.88</v>
      </c>
    </row>
    <row r="26" spans="1:54" ht="12.75" customHeight="1">
      <c r="A26" s="144"/>
      <c r="B26" s="144" t="s">
        <v>222</v>
      </c>
      <c r="C26" s="198">
        <v>109056121</v>
      </c>
      <c r="D26" s="323">
        <v>21084.7044</v>
      </c>
      <c r="E26" s="323">
        <v>21145.3307</v>
      </c>
      <c r="F26" s="164">
        <v>4800</v>
      </c>
      <c r="G26" s="324">
        <f aca="true" t="shared" si="1" ref="G26:G43">E26-D26</f>
        <v>60.6262999999999</v>
      </c>
      <c r="H26" s="164"/>
      <c r="I26" s="164">
        <f>ROUND(F26*G26+H26,0)</f>
        <v>291006</v>
      </c>
      <c r="J26" s="222" t="s">
        <v>548</v>
      </c>
      <c r="K26" s="223"/>
      <c r="L26" s="223"/>
      <c r="M26" s="191"/>
      <c r="N26" s="148"/>
      <c r="O26" s="148"/>
      <c r="P26" s="148"/>
      <c r="Q26" s="148"/>
      <c r="R26" s="209"/>
      <c r="S26" s="158" t="s">
        <v>166</v>
      </c>
      <c r="T26" s="148" t="s">
        <v>132</v>
      </c>
      <c r="U26" s="148"/>
      <c r="V26" s="148"/>
      <c r="W26" s="164">
        <f>SUM(X26:AA26)</f>
        <v>9753</v>
      </c>
      <c r="X26" s="187">
        <v>0</v>
      </c>
      <c r="Y26" s="169">
        <v>0</v>
      </c>
      <c r="Z26" s="164">
        <f>I45+I46</f>
        <v>9753</v>
      </c>
      <c r="AA26" s="169">
        <v>0</v>
      </c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02" t="s">
        <v>184</v>
      </c>
      <c r="AU26" s="150"/>
      <c r="AV26" s="150"/>
      <c r="AW26" s="150"/>
      <c r="AX26" s="160"/>
      <c r="AY26" s="161"/>
      <c r="AZ26" s="296">
        <f>(X14+AG14+AP14)/1000</f>
        <v>3540.916</v>
      </c>
      <c r="BA26" s="279">
        <v>17</v>
      </c>
      <c r="BB26" s="284">
        <f>AZ26*BA26</f>
        <v>60195.572</v>
      </c>
    </row>
    <row r="27" spans="1:54" ht="12.75" customHeight="1">
      <c r="A27" s="143" t="s">
        <v>223</v>
      </c>
      <c r="B27" s="143" t="s">
        <v>235</v>
      </c>
      <c r="C27" s="197">
        <v>623125232</v>
      </c>
      <c r="D27" s="325">
        <v>9240.7087</v>
      </c>
      <c r="E27" s="325">
        <v>9240.7087</v>
      </c>
      <c r="F27" s="175">
        <v>1800</v>
      </c>
      <c r="G27" s="326">
        <f t="shared" si="1"/>
        <v>0</v>
      </c>
      <c r="H27" s="171"/>
      <c r="I27" s="175">
        <f>ROUND(G27*F27,0)</f>
        <v>0</v>
      </c>
      <c r="J27" s="120"/>
      <c r="K27" s="160"/>
      <c r="L27" s="160"/>
      <c r="M27" s="160"/>
      <c r="N27" s="160"/>
      <c r="O27" s="160"/>
      <c r="P27" s="190"/>
      <c r="Q27" s="238"/>
      <c r="R27" s="237"/>
      <c r="S27" s="179"/>
      <c r="T27" s="160"/>
      <c r="U27" s="160"/>
      <c r="V27" s="160"/>
      <c r="W27" s="180"/>
      <c r="X27" s="180"/>
      <c r="Y27" s="181"/>
      <c r="Z27" s="180"/>
      <c r="AA27" s="181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03" t="s">
        <v>185</v>
      </c>
      <c r="AU27" s="148"/>
      <c r="AV27" s="148"/>
      <c r="AW27" s="148"/>
      <c r="AX27" s="146"/>
      <c r="AY27" s="147"/>
      <c r="AZ27" s="296">
        <v>2.26</v>
      </c>
      <c r="BA27" s="279">
        <v>35268</v>
      </c>
      <c r="BB27" s="279">
        <f>AZ27*BA27</f>
        <v>79705.68</v>
      </c>
    </row>
    <row r="28" spans="1:54" ht="12.75" customHeight="1">
      <c r="A28" s="144"/>
      <c r="B28" s="144" t="s">
        <v>222</v>
      </c>
      <c r="C28" s="169"/>
      <c r="D28" s="228"/>
      <c r="E28" s="228"/>
      <c r="F28" s="164"/>
      <c r="G28" s="227"/>
      <c r="H28" s="169"/>
      <c r="I28" s="164"/>
      <c r="J28" s="160" t="s">
        <v>279</v>
      </c>
      <c r="K28" s="160"/>
      <c r="L28" s="264"/>
      <c r="M28" s="181"/>
      <c r="N28" s="265"/>
      <c r="O28" s="265"/>
      <c r="P28" s="188"/>
      <c r="Q28" s="160"/>
      <c r="R28" s="190"/>
      <c r="S28" s="120"/>
      <c r="T28" s="120"/>
      <c r="U28" s="120"/>
      <c r="V28" s="120"/>
      <c r="W28" s="120"/>
      <c r="X28" s="120"/>
      <c r="Y28" s="120"/>
      <c r="Z28" s="120"/>
      <c r="AA28" s="120"/>
      <c r="AB28" s="120" t="s">
        <v>447</v>
      </c>
      <c r="AC28" s="120"/>
      <c r="AD28" s="120"/>
      <c r="AE28" s="120"/>
      <c r="AF28" s="120"/>
      <c r="AG28" s="120" t="s">
        <v>450</v>
      </c>
      <c r="AH28" s="120"/>
      <c r="AI28" s="120" t="s">
        <v>451</v>
      </c>
      <c r="AJ28" s="120"/>
      <c r="AK28" s="120" t="s">
        <v>447</v>
      </c>
      <c r="AL28" s="120"/>
      <c r="AM28" s="120"/>
      <c r="AN28" s="120"/>
      <c r="AO28" s="120"/>
      <c r="AP28" s="120" t="s">
        <v>151</v>
      </c>
      <c r="AQ28" s="120"/>
      <c r="AR28" s="120" t="s">
        <v>152</v>
      </c>
      <c r="AS28" s="120"/>
      <c r="AT28" s="159" t="s">
        <v>186</v>
      </c>
      <c r="AU28" s="160"/>
      <c r="AV28" s="160"/>
      <c r="AW28" s="160"/>
      <c r="AX28" s="146"/>
      <c r="AY28" s="147"/>
      <c r="AZ28" s="296">
        <f>(Z14+AI14+AR14)/1000</f>
        <v>433.092</v>
      </c>
      <c r="BA28" s="279">
        <v>17</v>
      </c>
      <c r="BB28" s="284">
        <f>AZ28*BA28</f>
        <v>7362.563999999999</v>
      </c>
    </row>
    <row r="29" spans="1:54" ht="12.75" customHeight="1">
      <c r="A29" s="143" t="s">
        <v>225</v>
      </c>
      <c r="B29" s="143" t="s">
        <v>236</v>
      </c>
      <c r="C29" s="197">
        <v>623125667</v>
      </c>
      <c r="D29" s="325">
        <v>10196.9113</v>
      </c>
      <c r="E29" s="325">
        <v>10368.3855</v>
      </c>
      <c r="F29" s="175">
        <v>1800</v>
      </c>
      <c r="G29" s="326">
        <f t="shared" si="1"/>
        <v>171.47420000000056</v>
      </c>
      <c r="H29" s="171"/>
      <c r="I29" s="175">
        <f>ROUND(G29*F29,0)</f>
        <v>308654</v>
      </c>
      <c r="J29" s="160"/>
      <c r="K29" s="160"/>
      <c r="L29" s="181"/>
      <c r="M29" s="181"/>
      <c r="N29" s="188"/>
      <c r="O29" s="188"/>
      <c r="P29" s="188"/>
      <c r="Q29" s="160"/>
      <c r="R29" s="190"/>
      <c r="S29" s="120"/>
      <c r="T29" s="120"/>
      <c r="U29" s="120"/>
      <c r="V29" s="120"/>
      <c r="W29" s="120"/>
      <c r="X29" s="120"/>
      <c r="Y29" s="120"/>
      <c r="Z29" s="120"/>
      <c r="AA29" s="120"/>
      <c r="AB29" s="120" t="s">
        <v>527</v>
      </c>
      <c r="AC29" s="120"/>
      <c r="AD29" s="120"/>
      <c r="AE29" s="120"/>
      <c r="AF29" s="120"/>
      <c r="AG29" s="120" t="s">
        <v>150</v>
      </c>
      <c r="AH29" s="120"/>
      <c r="AI29" s="120"/>
      <c r="AJ29" s="120"/>
      <c r="AK29" s="120" t="s">
        <v>527</v>
      </c>
      <c r="AL29" s="120"/>
      <c r="AM29" s="120"/>
      <c r="AN29" s="120"/>
      <c r="AO29" s="120"/>
      <c r="AP29" s="120" t="s">
        <v>150</v>
      </c>
      <c r="AQ29" s="120"/>
      <c r="AR29" s="120"/>
      <c r="AS29" s="120"/>
      <c r="AT29" s="145"/>
      <c r="AU29" s="146"/>
      <c r="AV29" s="146"/>
      <c r="AW29" s="146"/>
      <c r="AX29" s="146"/>
      <c r="AY29" s="147"/>
      <c r="AZ29" s="280"/>
      <c r="BA29" s="287"/>
      <c r="BB29" s="284"/>
    </row>
    <row r="30" spans="1:54" ht="12.75" customHeight="1">
      <c r="A30" s="144"/>
      <c r="B30" s="144" t="s">
        <v>222</v>
      </c>
      <c r="C30" s="169"/>
      <c r="D30" s="228"/>
      <c r="E30" s="228"/>
      <c r="F30" s="164"/>
      <c r="G30" s="227"/>
      <c r="H30" s="169"/>
      <c r="I30" s="164"/>
      <c r="J30" s="160"/>
      <c r="K30" s="160"/>
      <c r="L30" s="181"/>
      <c r="M30" s="181"/>
      <c r="N30" s="188"/>
      <c r="O30" s="188"/>
      <c r="P30" s="188"/>
      <c r="Q30" s="160"/>
      <c r="R30" s="19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45"/>
      <c r="AU30" s="146"/>
      <c r="AV30" s="146"/>
      <c r="AW30" s="146"/>
      <c r="AX30" s="146"/>
      <c r="AY30" s="147"/>
      <c r="AZ30" s="280"/>
      <c r="BA30" s="287"/>
      <c r="BB30" s="284"/>
    </row>
    <row r="31" spans="1:54" ht="12.75" customHeight="1">
      <c r="A31" s="143" t="s">
        <v>226</v>
      </c>
      <c r="B31" s="143" t="s">
        <v>237</v>
      </c>
      <c r="C31" s="197">
        <v>623126370</v>
      </c>
      <c r="D31" s="325">
        <v>2734.4787</v>
      </c>
      <c r="E31" s="325">
        <v>2791.3367</v>
      </c>
      <c r="F31" s="175">
        <v>4800</v>
      </c>
      <c r="G31" s="326">
        <f t="shared" si="1"/>
        <v>56.85799999999972</v>
      </c>
      <c r="H31" s="171"/>
      <c r="I31" s="175">
        <f>ROUND(G31*F31,0)</f>
        <v>272918</v>
      </c>
      <c r="J31" s="160"/>
      <c r="K31" s="160"/>
      <c r="L31" s="264"/>
      <c r="M31" s="181"/>
      <c r="N31" s="265" t="s">
        <v>280</v>
      </c>
      <c r="O31" s="265"/>
      <c r="P31" s="188"/>
      <c r="Q31" s="160"/>
      <c r="R31" s="190"/>
      <c r="S31" s="120" t="s">
        <v>447</v>
      </c>
      <c r="T31" s="120"/>
      <c r="U31" s="120"/>
      <c r="V31" s="120"/>
      <c r="W31" s="120"/>
      <c r="X31" s="120" t="s">
        <v>450</v>
      </c>
      <c r="Y31" s="120"/>
      <c r="Z31" s="120" t="s">
        <v>451</v>
      </c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45"/>
      <c r="AU31" s="146"/>
      <c r="AV31" s="146"/>
      <c r="AW31" s="146"/>
      <c r="AX31" s="146"/>
      <c r="AY31" s="147"/>
      <c r="AZ31" s="280"/>
      <c r="BA31" s="287"/>
      <c r="BB31" s="284"/>
    </row>
    <row r="32" spans="1:54" ht="12.75" customHeight="1">
      <c r="A32" s="144"/>
      <c r="B32" s="144" t="s">
        <v>222</v>
      </c>
      <c r="C32" s="169"/>
      <c r="D32" s="228"/>
      <c r="E32" s="228"/>
      <c r="F32" s="164"/>
      <c r="G32" s="227"/>
      <c r="H32" s="169"/>
      <c r="I32" s="164"/>
      <c r="J32" s="160"/>
      <c r="K32" s="160"/>
      <c r="L32" s="181"/>
      <c r="M32" s="181"/>
      <c r="N32" s="265" t="s">
        <v>529</v>
      </c>
      <c r="O32" s="265"/>
      <c r="P32" s="188"/>
      <c r="Q32" s="160"/>
      <c r="R32" s="190"/>
      <c r="S32" s="120" t="s">
        <v>527</v>
      </c>
      <c r="T32" s="120"/>
      <c r="U32" s="120"/>
      <c r="V32" s="120"/>
      <c r="W32" s="120"/>
      <c r="X32" s="120" t="s">
        <v>150</v>
      </c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45" t="s">
        <v>432</v>
      </c>
      <c r="AU32" s="146"/>
      <c r="AV32" s="146"/>
      <c r="AW32" s="146"/>
      <c r="AX32" s="146"/>
      <c r="AY32" s="147"/>
      <c r="AZ32" s="280"/>
      <c r="BA32" s="298"/>
      <c r="BB32" s="279"/>
    </row>
    <row r="33" spans="1:54" ht="12.75" customHeight="1">
      <c r="A33" s="143" t="s">
        <v>227</v>
      </c>
      <c r="B33" s="143" t="s">
        <v>238</v>
      </c>
      <c r="C33" s="197">
        <v>623125137</v>
      </c>
      <c r="D33" s="325">
        <v>2202.7089</v>
      </c>
      <c r="E33" s="325">
        <v>2202.7089</v>
      </c>
      <c r="F33" s="175">
        <v>4800</v>
      </c>
      <c r="G33" s="326">
        <f t="shared" si="1"/>
        <v>0</v>
      </c>
      <c r="H33" s="171"/>
      <c r="I33" s="175">
        <f>ROUND(G33*F33,0)</f>
        <v>0</v>
      </c>
      <c r="J33" s="160"/>
      <c r="K33" s="160"/>
      <c r="L33" s="264"/>
      <c r="M33" s="181"/>
      <c r="N33" s="265" t="s">
        <v>563</v>
      </c>
      <c r="O33" s="265"/>
      <c r="P33" s="188"/>
      <c r="Q33" s="160"/>
      <c r="R33" s="190"/>
      <c r="S33" s="120"/>
      <c r="T33" s="120"/>
      <c r="U33" s="120"/>
      <c r="V33" s="120"/>
      <c r="W33" s="120"/>
      <c r="X33" s="120"/>
      <c r="Y33" s="120"/>
      <c r="Z33" s="120"/>
      <c r="AA33" s="120"/>
      <c r="AB33" s="120" t="s">
        <v>149</v>
      </c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45" t="s">
        <v>430</v>
      </c>
      <c r="AU33" s="146"/>
      <c r="AV33" s="146"/>
      <c r="AW33" s="146"/>
      <c r="AX33" s="146"/>
      <c r="AY33" s="147"/>
      <c r="AZ33" s="280"/>
      <c r="BA33" s="287"/>
      <c r="BB33" s="279"/>
    </row>
    <row r="34" spans="1:54" ht="12.75" customHeight="1">
      <c r="A34" s="144"/>
      <c r="B34" s="144" t="s">
        <v>222</v>
      </c>
      <c r="C34" s="169"/>
      <c r="D34" s="228"/>
      <c r="E34" s="228"/>
      <c r="F34" s="164"/>
      <c r="G34" s="227"/>
      <c r="H34" s="169"/>
      <c r="I34" s="164"/>
      <c r="J34" s="160"/>
      <c r="K34" s="160"/>
      <c r="L34" s="181"/>
      <c r="M34" s="181"/>
      <c r="N34" s="265"/>
      <c r="O34" s="265"/>
      <c r="P34" s="188"/>
      <c r="Q34" s="160"/>
      <c r="R34" s="190"/>
      <c r="S34" s="120"/>
      <c r="T34" s="120"/>
      <c r="U34" s="120"/>
      <c r="V34" s="120"/>
      <c r="W34" s="120"/>
      <c r="X34" s="120"/>
      <c r="Y34" s="120"/>
      <c r="Z34" s="120"/>
      <c r="AA34" s="120"/>
      <c r="AB34" s="120" t="s">
        <v>18</v>
      </c>
      <c r="AC34" s="120"/>
      <c r="AD34" s="120"/>
      <c r="AE34" s="120"/>
      <c r="AF34" s="120"/>
      <c r="AG34" s="120"/>
      <c r="AH34" s="120"/>
      <c r="AI34" s="120"/>
      <c r="AJ34" s="120"/>
      <c r="AK34" s="120" t="s">
        <v>149</v>
      </c>
      <c r="AL34" s="120"/>
      <c r="AM34" s="120"/>
      <c r="AN34" s="120"/>
      <c r="AO34" s="120"/>
      <c r="AP34" s="120"/>
      <c r="AQ34" s="120"/>
      <c r="AR34" s="120"/>
      <c r="AS34" s="120"/>
      <c r="AT34" s="145" t="s">
        <v>437</v>
      </c>
      <c r="AU34" s="146"/>
      <c r="AV34" s="146"/>
      <c r="AW34" s="146"/>
      <c r="AX34" s="146"/>
      <c r="AY34" s="147"/>
      <c r="AZ34" s="280"/>
      <c r="BA34" s="293"/>
      <c r="BB34" s="279"/>
    </row>
    <row r="35" spans="1:54" ht="12.75" customHeight="1">
      <c r="A35" s="143" t="s">
        <v>228</v>
      </c>
      <c r="B35" s="143" t="s">
        <v>239</v>
      </c>
      <c r="C35" s="197">
        <v>623125142</v>
      </c>
      <c r="D35" s="325">
        <v>13836.677</v>
      </c>
      <c r="E35" s="325">
        <v>13939.8946</v>
      </c>
      <c r="F35" s="175">
        <v>2400</v>
      </c>
      <c r="G35" s="326">
        <f t="shared" si="1"/>
        <v>103.21759999999995</v>
      </c>
      <c r="H35" s="171"/>
      <c r="I35" s="175">
        <f>ROUND(G35*F35,0)</f>
        <v>247722</v>
      </c>
      <c r="J35" s="160"/>
      <c r="K35" s="160"/>
      <c r="L35" s="264"/>
      <c r="M35" s="181"/>
      <c r="N35" s="266" t="s">
        <v>283</v>
      </c>
      <c r="O35" s="266"/>
      <c r="P35" s="188"/>
      <c r="Q35" s="160"/>
      <c r="R35" s="190"/>
      <c r="S35" s="120"/>
      <c r="T35" s="120"/>
      <c r="U35" s="120"/>
      <c r="V35" s="120"/>
      <c r="W35" s="120"/>
      <c r="X35" s="120"/>
      <c r="Y35" s="120"/>
      <c r="Z35" s="120"/>
      <c r="AA35" s="120"/>
      <c r="AB35" s="120" t="s">
        <v>167</v>
      </c>
      <c r="AC35" s="120"/>
      <c r="AD35" s="120"/>
      <c r="AE35" s="120"/>
      <c r="AF35" s="120"/>
      <c r="AG35" s="120" t="s">
        <v>134</v>
      </c>
      <c r="AH35" s="120"/>
      <c r="AI35" s="120" t="s">
        <v>133</v>
      </c>
      <c r="AJ35" s="120"/>
      <c r="AK35" s="120" t="s">
        <v>462</v>
      </c>
      <c r="AL35" s="120"/>
      <c r="AM35" s="120"/>
      <c r="AN35" s="120"/>
      <c r="AO35" s="120"/>
      <c r="AP35" s="120"/>
      <c r="AQ35" s="120" t="s">
        <v>463</v>
      </c>
      <c r="AR35" s="120"/>
      <c r="AS35" s="120"/>
      <c r="AT35" s="145" t="s">
        <v>430</v>
      </c>
      <c r="AU35" s="146"/>
      <c r="AV35" s="146"/>
      <c r="AW35" s="146"/>
      <c r="AX35" s="146"/>
      <c r="AY35" s="147"/>
      <c r="AZ35" s="280"/>
      <c r="BA35" s="293"/>
      <c r="BB35" s="279"/>
    </row>
    <row r="36" spans="1:54" ht="12.75" customHeight="1">
      <c r="A36" s="144"/>
      <c r="B36" s="144" t="s">
        <v>222</v>
      </c>
      <c r="C36" s="169"/>
      <c r="D36" s="228"/>
      <c r="E36" s="228"/>
      <c r="F36" s="164"/>
      <c r="G36" s="227"/>
      <c r="H36" s="169"/>
      <c r="I36" s="164"/>
      <c r="J36" s="160"/>
      <c r="K36" s="239"/>
      <c r="L36" s="181"/>
      <c r="M36" s="181"/>
      <c r="N36" s="267" t="s">
        <v>281</v>
      </c>
      <c r="O36" s="188"/>
      <c r="P36" s="188"/>
      <c r="Q36" s="160"/>
      <c r="R36" s="190"/>
      <c r="S36" s="120"/>
      <c r="T36" s="120"/>
      <c r="U36" s="120"/>
      <c r="V36" s="120"/>
      <c r="W36" s="120"/>
      <c r="X36" s="120"/>
      <c r="Y36" s="120"/>
      <c r="Z36" s="120"/>
      <c r="AA36" s="120"/>
      <c r="AB36" s="120" t="s">
        <v>188</v>
      </c>
      <c r="AC36" s="120"/>
      <c r="AD36" s="120"/>
      <c r="AE36" s="120"/>
      <c r="AF36" s="120"/>
      <c r="AG36" s="120" t="s">
        <v>150</v>
      </c>
      <c r="AH36" s="120"/>
      <c r="AI36" s="120"/>
      <c r="AJ36" s="120"/>
      <c r="AK36" s="120"/>
      <c r="AL36" s="120"/>
      <c r="AM36" s="120"/>
      <c r="AN36" s="120"/>
      <c r="AO36" s="120"/>
      <c r="AP36" s="120"/>
      <c r="AQ36" s="120" t="s">
        <v>150</v>
      </c>
      <c r="AR36" s="120"/>
      <c r="AS36" s="120"/>
      <c r="AT36" s="145" t="s">
        <v>430</v>
      </c>
      <c r="AU36" s="146"/>
      <c r="AV36" s="146"/>
      <c r="AW36" s="146"/>
      <c r="AX36" s="146"/>
      <c r="AY36" s="147"/>
      <c r="AZ36" s="280"/>
      <c r="BA36" s="293"/>
      <c r="BB36" s="279"/>
    </row>
    <row r="37" spans="1:54" ht="12.75" customHeight="1">
      <c r="A37" s="143" t="s">
        <v>229</v>
      </c>
      <c r="B37" s="143" t="s">
        <v>240</v>
      </c>
      <c r="C37" s="197">
        <v>623125205</v>
      </c>
      <c r="D37" s="325">
        <v>4943.1806</v>
      </c>
      <c r="E37" s="325">
        <v>5029.6612</v>
      </c>
      <c r="F37" s="175">
        <v>1800</v>
      </c>
      <c r="G37" s="326">
        <f t="shared" si="1"/>
        <v>86.48059999999987</v>
      </c>
      <c r="H37" s="171"/>
      <c r="I37" s="175">
        <f>ROUND(G37*F37,0)</f>
        <v>155665</v>
      </c>
      <c r="J37" s="120"/>
      <c r="K37" s="160"/>
      <c r="L37" s="160"/>
      <c r="M37" s="160"/>
      <c r="N37" s="160"/>
      <c r="O37" s="160"/>
      <c r="P37" s="190"/>
      <c r="Q37" s="236"/>
      <c r="R37" s="237"/>
      <c r="S37" s="120" t="s">
        <v>160</v>
      </c>
      <c r="T37" s="120"/>
      <c r="U37" s="120"/>
      <c r="V37" s="120"/>
      <c r="W37" s="120"/>
      <c r="X37" s="120" t="s">
        <v>450</v>
      </c>
      <c r="Y37" s="120"/>
      <c r="Z37" s="120" t="s">
        <v>137</v>
      </c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46" t="s">
        <v>323</v>
      </c>
      <c r="AU37" s="146"/>
      <c r="AV37" s="146"/>
      <c r="AW37" s="146"/>
      <c r="AX37" s="146"/>
      <c r="AY37" s="147"/>
      <c r="AZ37" s="280"/>
      <c r="BA37" s="287"/>
      <c r="BB37" s="279"/>
    </row>
    <row r="38" spans="1:54" ht="12.75" customHeight="1">
      <c r="A38" s="144"/>
      <c r="B38" s="144" t="s">
        <v>222</v>
      </c>
      <c r="C38" s="169"/>
      <c r="D38" s="228"/>
      <c r="E38" s="228"/>
      <c r="F38" s="164"/>
      <c r="G38" s="227"/>
      <c r="H38" s="169"/>
      <c r="I38" s="164"/>
      <c r="J38" s="120"/>
      <c r="K38" s="160"/>
      <c r="L38" s="160"/>
      <c r="M38" s="160"/>
      <c r="N38" s="160"/>
      <c r="O38" s="160"/>
      <c r="P38" s="190"/>
      <c r="Q38" s="236"/>
      <c r="R38" s="237"/>
      <c r="S38" s="120"/>
      <c r="T38" s="120"/>
      <c r="U38" s="120"/>
      <c r="V38" s="120"/>
      <c r="W38" s="120"/>
      <c r="X38" s="120" t="s">
        <v>150</v>
      </c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45" t="s">
        <v>430</v>
      </c>
      <c r="AU38" s="146"/>
      <c r="AV38" s="146" t="s">
        <v>96</v>
      </c>
      <c r="AW38" s="146"/>
      <c r="AX38" s="146"/>
      <c r="AY38" s="147"/>
      <c r="AZ38" s="280"/>
      <c r="BA38" s="293"/>
      <c r="BB38" s="279"/>
    </row>
    <row r="39" spans="1:54" ht="12.75" customHeight="1">
      <c r="A39" s="143" t="s">
        <v>230</v>
      </c>
      <c r="B39" s="143" t="s">
        <v>241</v>
      </c>
      <c r="C39" s="197">
        <v>623123704</v>
      </c>
      <c r="D39" s="325">
        <v>7805.0889</v>
      </c>
      <c r="E39" s="325">
        <v>7931.8468</v>
      </c>
      <c r="F39" s="175">
        <v>1800</v>
      </c>
      <c r="G39" s="326">
        <f t="shared" si="1"/>
        <v>126.75790000000052</v>
      </c>
      <c r="H39" s="171"/>
      <c r="I39" s="175">
        <f>ROUND(G39*F39,0)</f>
        <v>228164</v>
      </c>
      <c r="J39" s="120"/>
      <c r="K39" s="160"/>
      <c r="L39" s="160"/>
      <c r="M39" s="160"/>
      <c r="N39" s="160"/>
      <c r="O39" s="160"/>
      <c r="P39" s="190"/>
      <c r="Q39" s="236"/>
      <c r="R39" s="237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45" t="s">
        <v>431</v>
      </c>
      <c r="AU39" s="146"/>
      <c r="AV39" s="146" t="s">
        <v>416</v>
      </c>
      <c r="AW39" s="146"/>
      <c r="AX39" s="146"/>
      <c r="AY39" s="147"/>
      <c r="AZ39" s="280"/>
      <c r="BA39" s="293"/>
      <c r="BB39" s="279"/>
    </row>
    <row r="40" spans="1:54" ht="12.75" customHeight="1">
      <c r="A40" s="144"/>
      <c r="B40" s="144" t="s">
        <v>222</v>
      </c>
      <c r="C40" s="169"/>
      <c r="D40" s="228"/>
      <c r="E40" s="228"/>
      <c r="F40" s="164"/>
      <c r="G40" s="227"/>
      <c r="H40" s="169"/>
      <c r="I40" s="164"/>
      <c r="J40" s="120"/>
      <c r="K40" s="160"/>
      <c r="L40" s="160"/>
      <c r="M40" s="160"/>
      <c r="N40" s="160"/>
      <c r="O40" s="160"/>
      <c r="P40" s="190"/>
      <c r="Q40" s="236"/>
      <c r="R40" s="237"/>
      <c r="S40" s="239"/>
      <c r="T40" s="268"/>
      <c r="U40" s="160"/>
      <c r="V40" s="160"/>
      <c r="W40" s="188"/>
      <c r="X40" s="188"/>
      <c r="Y40" s="269"/>
      <c r="Z40" s="160"/>
      <c r="AA40" s="19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45"/>
      <c r="AU40" s="146"/>
      <c r="AV40" s="146"/>
      <c r="AW40" s="146"/>
      <c r="AX40" s="146"/>
      <c r="AY40" s="147"/>
      <c r="AZ40" s="280"/>
      <c r="BA40" s="293"/>
      <c r="BB40" s="279"/>
    </row>
    <row r="41" spans="1:54" ht="12.75" customHeight="1">
      <c r="A41" s="143" t="s">
        <v>231</v>
      </c>
      <c r="B41" s="143" t="s">
        <v>242</v>
      </c>
      <c r="C41" s="197">
        <v>623125794</v>
      </c>
      <c r="D41" s="325">
        <v>92.7965</v>
      </c>
      <c r="E41" s="325">
        <v>111.485</v>
      </c>
      <c r="F41" s="175">
        <v>1800</v>
      </c>
      <c r="G41" s="326">
        <f t="shared" si="1"/>
        <v>18.688500000000005</v>
      </c>
      <c r="H41" s="171"/>
      <c r="I41" s="175">
        <f>ROUND(G41*F41,0)</f>
        <v>33639</v>
      </c>
      <c r="J41" s="120"/>
      <c r="K41" s="160"/>
      <c r="L41" s="160"/>
      <c r="M41" s="160"/>
      <c r="N41" s="160"/>
      <c r="O41" s="160"/>
      <c r="P41" s="190"/>
      <c r="Q41" s="236"/>
      <c r="R41" s="237"/>
      <c r="S41" s="239"/>
      <c r="T41" s="268"/>
      <c r="U41" s="160"/>
      <c r="V41" s="160"/>
      <c r="W41" s="188"/>
      <c r="X41" s="188"/>
      <c r="Y41" s="269"/>
      <c r="Z41" s="160"/>
      <c r="AA41" s="19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45"/>
      <c r="AU41" s="146"/>
      <c r="AV41" s="146"/>
      <c r="AW41" s="146"/>
      <c r="AX41" s="146"/>
      <c r="AY41" s="147"/>
      <c r="AZ41" s="280"/>
      <c r="BA41" s="293"/>
      <c r="BB41" s="279"/>
    </row>
    <row r="42" spans="1:54" ht="12.75" customHeight="1">
      <c r="A42" s="144"/>
      <c r="B42" s="144" t="s">
        <v>222</v>
      </c>
      <c r="C42" s="169"/>
      <c r="D42" s="228"/>
      <c r="E42" s="228"/>
      <c r="F42" s="164"/>
      <c r="G42" s="227"/>
      <c r="H42" s="169"/>
      <c r="I42" s="164"/>
      <c r="J42" s="120"/>
      <c r="K42" s="160"/>
      <c r="L42" s="160"/>
      <c r="M42" s="160"/>
      <c r="N42" s="160"/>
      <c r="O42" s="160"/>
      <c r="P42" s="190"/>
      <c r="Q42" s="236"/>
      <c r="R42" s="237"/>
      <c r="S42" s="268"/>
      <c r="T42" s="239"/>
      <c r="U42" s="160"/>
      <c r="V42" s="160"/>
      <c r="W42" s="160"/>
      <c r="X42" s="160"/>
      <c r="Y42" s="160"/>
      <c r="Z42" s="160"/>
      <c r="AA42" s="19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45"/>
      <c r="AU42" s="146"/>
      <c r="AV42" s="146"/>
      <c r="AW42" s="146"/>
      <c r="AX42" s="146"/>
      <c r="AY42" s="147"/>
      <c r="AZ42" s="280"/>
      <c r="BA42" s="287"/>
      <c r="BB42" s="279"/>
    </row>
    <row r="43" spans="1:54" ht="12.75" customHeight="1">
      <c r="A43" s="143" t="s">
        <v>232</v>
      </c>
      <c r="B43" s="143" t="s">
        <v>243</v>
      </c>
      <c r="C43" s="197">
        <v>623125736</v>
      </c>
      <c r="D43" s="325">
        <v>4243.1676</v>
      </c>
      <c r="E43" s="325">
        <v>4280.1119</v>
      </c>
      <c r="F43" s="175">
        <v>1200</v>
      </c>
      <c r="G43" s="326">
        <f t="shared" si="1"/>
        <v>36.94430000000011</v>
      </c>
      <c r="H43" s="171"/>
      <c r="I43" s="175">
        <f>ROUND(G43*F43,0)</f>
        <v>44333</v>
      </c>
      <c r="J43" s="120"/>
      <c r="K43" s="160"/>
      <c r="L43" s="160"/>
      <c r="M43" s="160"/>
      <c r="N43" s="160"/>
      <c r="O43" s="160"/>
      <c r="P43" s="190"/>
      <c r="Q43" s="236"/>
      <c r="R43" s="237"/>
      <c r="S43" s="239"/>
      <c r="T43" s="268"/>
      <c r="U43" s="160"/>
      <c r="V43" s="160"/>
      <c r="W43" s="188"/>
      <c r="X43" s="188"/>
      <c r="Y43" s="269"/>
      <c r="Z43" s="160"/>
      <c r="AA43" s="19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45" t="s">
        <v>323</v>
      </c>
      <c r="AU43" s="146"/>
      <c r="AV43" s="146"/>
      <c r="AW43" s="146"/>
      <c r="AX43" s="146"/>
      <c r="AY43" s="147"/>
      <c r="AZ43" s="280"/>
      <c r="BA43" s="293"/>
      <c r="BB43" s="279"/>
    </row>
    <row r="44" spans="1:54" ht="12.75" customHeight="1">
      <c r="A44" s="144"/>
      <c r="B44" s="144" t="s">
        <v>222</v>
      </c>
      <c r="C44" s="168"/>
      <c r="D44" s="228"/>
      <c r="E44" s="228"/>
      <c r="F44" s="164"/>
      <c r="G44" s="227"/>
      <c r="H44" s="169"/>
      <c r="I44" s="164"/>
      <c r="J44" s="160"/>
      <c r="K44" s="160"/>
      <c r="L44" s="160"/>
      <c r="M44" s="160"/>
      <c r="N44" s="160"/>
      <c r="O44" s="160"/>
      <c r="P44" s="190"/>
      <c r="Q44" s="236"/>
      <c r="R44" s="237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45"/>
      <c r="AU44" s="146"/>
      <c r="AV44" s="146"/>
      <c r="AW44" s="146"/>
      <c r="AX44" s="146"/>
      <c r="AY44" s="147"/>
      <c r="AZ44" s="280"/>
      <c r="BA44" s="287"/>
      <c r="BB44" s="279"/>
    </row>
    <row r="45" spans="1:54" ht="12.75" customHeight="1">
      <c r="A45" s="143" t="s">
        <v>233</v>
      </c>
      <c r="B45" s="145" t="s">
        <v>234</v>
      </c>
      <c r="C45" s="197">
        <v>1110171156</v>
      </c>
      <c r="D45" s="325">
        <v>12274.414</v>
      </c>
      <c r="E45" s="325">
        <v>12518.2316</v>
      </c>
      <c r="F45" s="175">
        <v>40</v>
      </c>
      <c r="G45" s="326">
        <f>E45-D45</f>
        <v>243.8175999999985</v>
      </c>
      <c r="H45" s="171"/>
      <c r="I45" s="175">
        <f>ROUND(G45*F45,0)</f>
        <v>9753</v>
      </c>
      <c r="J45" s="160"/>
      <c r="K45" s="160"/>
      <c r="L45" s="160"/>
      <c r="M45" s="160"/>
      <c r="N45" s="160"/>
      <c r="O45" s="160"/>
      <c r="P45" s="190"/>
      <c r="Q45" s="238"/>
      <c r="R45" s="237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45" t="s">
        <v>3</v>
      </c>
      <c r="AU45" s="146"/>
      <c r="AV45" s="146"/>
      <c r="AW45" s="146"/>
      <c r="AX45" s="146"/>
      <c r="AY45" s="147"/>
      <c r="AZ45" s="280"/>
      <c r="BA45" s="287"/>
      <c r="BB45" s="279"/>
    </row>
    <row r="46" spans="1:54" ht="12.75" customHeight="1">
      <c r="A46" s="144"/>
      <c r="B46" s="103" t="s">
        <v>222</v>
      </c>
      <c r="C46" s="198"/>
      <c r="D46" s="378"/>
      <c r="E46" s="325"/>
      <c r="F46" s="175"/>
      <c r="G46" s="326"/>
      <c r="H46" s="171"/>
      <c r="I46" s="175"/>
      <c r="J46" s="160"/>
      <c r="K46" s="160"/>
      <c r="L46" s="160"/>
      <c r="M46" s="160"/>
      <c r="N46" s="160"/>
      <c r="O46" s="160"/>
      <c r="P46" s="190"/>
      <c r="Q46" s="236"/>
      <c r="R46" s="237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45"/>
      <c r="AU46" s="146"/>
      <c r="AV46" s="146" t="s">
        <v>330</v>
      </c>
      <c r="AW46" s="146"/>
      <c r="AX46" s="146"/>
      <c r="AY46" s="147"/>
      <c r="AZ46" s="280"/>
      <c r="BA46" s="298"/>
      <c r="BB46" s="279"/>
    </row>
    <row r="47" spans="1:54" ht="12.75" customHeight="1">
      <c r="A47" s="201"/>
      <c r="B47" s="150"/>
      <c r="C47" s="191"/>
      <c r="D47" s="199"/>
      <c r="E47" s="200"/>
      <c r="F47" s="200"/>
      <c r="G47" s="215" t="s">
        <v>244</v>
      </c>
      <c r="H47" s="151"/>
      <c r="I47" s="235">
        <f>ROUND((SUM(I25:I46)+I20),0)</f>
        <v>3771488</v>
      </c>
      <c r="J47" s="160"/>
      <c r="K47" s="160"/>
      <c r="L47" s="160"/>
      <c r="M47" s="160"/>
      <c r="N47" s="160"/>
      <c r="O47" s="160"/>
      <c r="P47" s="190"/>
      <c r="Q47" s="238"/>
      <c r="R47" s="237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45"/>
      <c r="AU47" s="146"/>
      <c r="AV47" s="146"/>
      <c r="AW47" s="146"/>
      <c r="AX47" s="146"/>
      <c r="AY47" s="147"/>
      <c r="AZ47" s="280"/>
      <c r="BA47" s="287"/>
      <c r="BB47" s="279"/>
    </row>
    <row r="48" spans="1:54" ht="12.75" customHeight="1">
      <c r="A48" s="143" t="s">
        <v>247</v>
      </c>
      <c r="B48" s="145" t="s">
        <v>245</v>
      </c>
      <c r="C48" s="202"/>
      <c r="D48" s="202"/>
      <c r="E48" s="203"/>
      <c r="F48" s="203"/>
      <c r="G48" s="204"/>
      <c r="H48" s="146"/>
      <c r="I48" s="205"/>
      <c r="J48" s="160"/>
      <c r="K48" s="160"/>
      <c r="L48" s="160"/>
      <c r="M48" s="160"/>
      <c r="N48" s="160"/>
      <c r="O48" s="160"/>
      <c r="P48" s="190"/>
      <c r="Q48" s="236"/>
      <c r="R48" s="237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45"/>
      <c r="AU48" s="146"/>
      <c r="AV48" s="146"/>
      <c r="AW48" s="146"/>
      <c r="AX48" s="146"/>
      <c r="AY48" s="147"/>
      <c r="AZ48" s="280"/>
      <c r="BA48" s="298"/>
      <c r="BB48" s="279"/>
    </row>
    <row r="49" spans="1:54" ht="12.75" customHeight="1">
      <c r="A49" s="173"/>
      <c r="B49" s="159" t="s">
        <v>246</v>
      </c>
      <c r="C49" s="206"/>
      <c r="D49" s="191"/>
      <c r="E49" s="207"/>
      <c r="F49" s="207"/>
      <c r="G49" s="208"/>
      <c r="H49" s="148"/>
      <c r="I49" s="209"/>
      <c r="J49" s="160"/>
      <c r="K49" s="160"/>
      <c r="L49" s="239"/>
      <c r="M49" s="160"/>
      <c r="N49" s="160"/>
      <c r="O49" s="160"/>
      <c r="P49" s="190"/>
      <c r="Q49" s="236"/>
      <c r="R49" s="237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45"/>
      <c r="AU49" s="146"/>
      <c r="AV49" s="146" t="s">
        <v>330</v>
      </c>
      <c r="AW49" s="146"/>
      <c r="AX49" s="146"/>
      <c r="AY49" s="147"/>
      <c r="AZ49" s="280"/>
      <c r="BA49" s="293"/>
      <c r="BB49" s="279"/>
    </row>
    <row r="50" spans="1:54" ht="12.75" customHeight="1">
      <c r="A50" s="145" t="s">
        <v>248</v>
      </c>
      <c r="B50" s="143" t="s">
        <v>484</v>
      </c>
      <c r="C50" s="304"/>
      <c r="D50" s="211"/>
      <c r="E50" s="211"/>
      <c r="F50" s="155"/>
      <c r="G50" s="212"/>
      <c r="H50" s="152"/>
      <c r="I50" s="155"/>
      <c r="J50" s="160"/>
      <c r="K50" s="160"/>
      <c r="L50" s="160"/>
      <c r="M50" s="160"/>
      <c r="N50" s="160"/>
      <c r="O50" s="160"/>
      <c r="P50" s="160"/>
      <c r="Q50" s="160"/>
      <c r="R50" s="16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50"/>
      <c r="AU50" s="150"/>
      <c r="AV50" s="270" t="s">
        <v>534</v>
      </c>
      <c r="AW50" s="150"/>
      <c r="AX50" s="150"/>
      <c r="AY50" s="151"/>
      <c r="AZ50" s="280"/>
      <c r="BA50" s="293"/>
      <c r="BB50" s="279"/>
    </row>
    <row r="51" spans="1:54" ht="12.75" customHeight="1">
      <c r="A51" s="159"/>
      <c r="B51" s="173"/>
      <c r="C51" s="305">
        <v>611127627</v>
      </c>
      <c r="D51" s="302">
        <v>6035.6152</v>
      </c>
      <c r="E51" s="302">
        <v>6097.5244</v>
      </c>
      <c r="F51" s="155">
        <v>40</v>
      </c>
      <c r="G51" s="252">
        <f>E51-D51</f>
        <v>61.909200000000055</v>
      </c>
      <c r="H51" s="155"/>
      <c r="I51" s="155">
        <f>ROUND(F51*G51+H51,0)</f>
        <v>2476</v>
      </c>
      <c r="J51" s="160"/>
      <c r="K51" s="160"/>
      <c r="L51" s="160"/>
      <c r="M51" s="160"/>
      <c r="N51" s="160"/>
      <c r="O51" s="160"/>
      <c r="P51" s="160"/>
      <c r="Q51" s="160"/>
      <c r="R51" s="16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60"/>
      <c r="AU51" s="120"/>
      <c r="AV51" s="120"/>
      <c r="AW51" s="120"/>
      <c r="AX51" s="120"/>
      <c r="AY51" s="120"/>
      <c r="AZ51" s="120"/>
      <c r="BA51" s="120"/>
      <c r="BB51" s="120"/>
    </row>
    <row r="52" spans="1:54" ht="12.75" customHeight="1">
      <c r="A52" s="159"/>
      <c r="B52" s="144" t="s">
        <v>467</v>
      </c>
      <c r="C52" s="305"/>
      <c r="D52" s="306"/>
      <c r="E52" s="306"/>
      <c r="F52" s="155"/>
      <c r="G52" s="212"/>
      <c r="H52" s="155"/>
      <c r="I52" s="155"/>
      <c r="J52" s="160"/>
      <c r="K52" s="160"/>
      <c r="L52" s="160"/>
      <c r="M52" s="160"/>
      <c r="N52" s="160"/>
      <c r="O52" s="160"/>
      <c r="P52" s="160"/>
      <c r="Q52" s="160"/>
      <c r="R52" s="16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60"/>
      <c r="AU52" s="120"/>
      <c r="AV52" s="120"/>
      <c r="AW52" s="120"/>
      <c r="AX52" s="120"/>
      <c r="AY52" s="120"/>
      <c r="AZ52" s="120"/>
      <c r="BA52" s="120"/>
      <c r="BB52" s="120"/>
    </row>
    <row r="53" spans="1:54" ht="12.75" customHeight="1">
      <c r="A53" s="143" t="s">
        <v>251</v>
      </c>
      <c r="B53" s="161"/>
      <c r="C53" s="213">
        <v>810120245</v>
      </c>
      <c r="D53" s="302">
        <v>3753.6339</v>
      </c>
      <c r="E53" s="302">
        <v>3760.564</v>
      </c>
      <c r="F53" s="155">
        <v>3600</v>
      </c>
      <c r="G53" s="252">
        <f>E53-D53</f>
        <v>6.930100000000039</v>
      </c>
      <c r="H53" s="155"/>
      <c r="I53" s="155">
        <f>ROUND(F53*G53+H53,0)</f>
        <v>24948</v>
      </c>
      <c r="J53" s="160"/>
      <c r="K53" s="160"/>
      <c r="L53" s="160"/>
      <c r="M53" s="160"/>
      <c r="N53" s="160"/>
      <c r="O53" s="160"/>
      <c r="P53" s="160"/>
      <c r="Q53" s="160"/>
      <c r="R53" s="16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60" t="s">
        <v>589</v>
      </c>
      <c r="AU53" s="120"/>
      <c r="AV53" s="120"/>
      <c r="AW53" s="120"/>
      <c r="AX53" s="120"/>
      <c r="AY53" s="120"/>
      <c r="AZ53" s="120"/>
      <c r="BA53" s="120"/>
      <c r="BB53" s="120"/>
    </row>
    <row r="54" spans="1:54" ht="12.75" customHeight="1">
      <c r="A54" s="173"/>
      <c r="B54" s="161" t="s">
        <v>494</v>
      </c>
      <c r="C54" s="213"/>
      <c r="D54" s="302"/>
      <c r="E54" s="302"/>
      <c r="F54" s="155"/>
      <c r="G54" s="252"/>
      <c r="H54" s="96"/>
      <c r="I54" s="155"/>
      <c r="J54" s="160"/>
      <c r="K54" s="160"/>
      <c r="L54" s="160"/>
      <c r="M54" s="160"/>
      <c r="N54" s="160"/>
      <c r="O54" s="160"/>
      <c r="P54" s="160"/>
      <c r="Q54" s="160"/>
      <c r="R54" s="16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60"/>
      <c r="AU54" s="120"/>
      <c r="AV54" s="120"/>
      <c r="AW54" s="120"/>
      <c r="AX54" s="120"/>
      <c r="AY54" s="120"/>
      <c r="AZ54" s="120"/>
      <c r="BA54" s="120"/>
      <c r="BB54" s="120"/>
    </row>
    <row r="55" spans="1:54" ht="12.75" customHeight="1">
      <c r="A55" s="173"/>
      <c r="B55" s="161"/>
      <c r="C55" s="210">
        <v>4050284</v>
      </c>
      <c r="D55" s="230">
        <v>4234.5825</v>
      </c>
      <c r="E55" s="230">
        <v>4268.8017</v>
      </c>
      <c r="F55" s="155">
        <v>3600</v>
      </c>
      <c r="G55" s="253">
        <f>E55-D55</f>
        <v>34.219199999999546</v>
      </c>
      <c r="H55" s="96"/>
      <c r="I55" s="155">
        <f>ROUND(F55*G55+H55,0)</f>
        <v>123189</v>
      </c>
      <c r="J55" s="160"/>
      <c r="K55" s="160"/>
      <c r="L55" s="160"/>
      <c r="M55" s="160"/>
      <c r="N55" s="160"/>
      <c r="O55" s="160"/>
      <c r="P55" s="160"/>
      <c r="Q55" s="160"/>
      <c r="R55" s="16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60"/>
      <c r="AU55" s="120"/>
      <c r="AV55" s="120"/>
      <c r="AW55" s="120"/>
      <c r="AX55" s="120"/>
      <c r="AY55" s="120"/>
      <c r="AZ55" s="120"/>
      <c r="BA55" s="120"/>
      <c r="BB55" s="120"/>
    </row>
    <row r="56" spans="1:54" ht="12.75" customHeight="1">
      <c r="A56" s="144"/>
      <c r="B56" s="149"/>
      <c r="C56" s="210"/>
      <c r="D56" s="230"/>
      <c r="E56" s="230"/>
      <c r="F56" s="155"/>
      <c r="G56" s="253"/>
      <c r="H56" s="96"/>
      <c r="I56" s="155"/>
      <c r="J56" s="160"/>
      <c r="K56" s="160"/>
      <c r="L56" s="160"/>
      <c r="M56" s="160"/>
      <c r="N56" s="160"/>
      <c r="O56" s="160"/>
      <c r="P56" s="160"/>
      <c r="Q56" s="160"/>
      <c r="R56" s="24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60"/>
      <c r="AU56" s="120"/>
      <c r="AV56" s="120"/>
      <c r="AW56" s="120"/>
      <c r="AX56" s="120"/>
      <c r="AY56" s="120"/>
      <c r="AZ56" s="120"/>
      <c r="BA56" s="120"/>
      <c r="BB56" s="120"/>
    </row>
    <row r="57" spans="1:54" ht="12.75" customHeight="1">
      <c r="A57" s="173" t="s">
        <v>252</v>
      </c>
      <c r="B57" s="143" t="s">
        <v>218</v>
      </c>
      <c r="C57" s="152"/>
      <c r="D57" s="211"/>
      <c r="E57" s="211"/>
      <c r="F57" s="155"/>
      <c r="G57" s="212"/>
      <c r="H57" s="96"/>
      <c r="I57" s="155"/>
      <c r="J57" s="160"/>
      <c r="K57" s="120"/>
      <c r="L57" s="120"/>
      <c r="M57" s="120"/>
      <c r="N57" s="120"/>
      <c r="O57" s="120"/>
      <c r="P57" s="120"/>
      <c r="Q57" s="120"/>
      <c r="R57" s="241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60"/>
      <c r="AU57" s="120"/>
      <c r="AV57" s="120"/>
      <c r="AW57" s="120"/>
      <c r="AX57" s="120"/>
      <c r="AY57" s="120"/>
      <c r="AZ57" s="120"/>
      <c r="BA57" s="120"/>
      <c r="BB57" s="271"/>
    </row>
    <row r="58" spans="1:54" ht="12.75" customHeight="1">
      <c r="A58" s="307"/>
      <c r="B58" s="173" t="s">
        <v>217</v>
      </c>
      <c r="C58" s="305">
        <v>611127492</v>
      </c>
      <c r="D58" s="302">
        <v>20286.7096</v>
      </c>
      <c r="E58" s="302">
        <v>20418.9816</v>
      </c>
      <c r="F58" s="155">
        <v>20</v>
      </c>
      <c r="G58" s="252">
        <f>E58-D58</f>
        <v>132.27200000000084</v>
      </c>
      <c r="H58" s="155"/>
      <c r="I58" s="155">
        <f>ROUND(F58*G58+H58,0)</f>
        <v>2645</v>
      </c>
      <c r="J58" s="16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60"/>
      <c r="AU58" s="120"/>
      <c r="AV58" s="120" t="s">
        <v>144</v>
      </c>
      <c r="AW58" s="120"/>
      <c r="AX58" s="120"/>
      <c r="AY58" s="120"/>
      <c r="AZ58" s="120"/>
      <c r="BA58" s="120"/>
      <c r="BB58" s="272">
        <f>BA9</f>
        <v>2.948527540418573</v>
      </c>
    </row>
    <row r="59" spans="1:54" ht="12.75" customHeight="1">
      <c r="A59" s="145" t="s">
        <v>253</v>
      </c>
      <c r="B59" s="143" t="s">
        <v>485</v>
      </c>
      <c r="C59" s="309"/>
      <c r="D59" s="211"/>
      <c r="E59" s="211"/>
      <c r="F59" s="155"/>
      <c r="G59" s="212"/>
      <c r="H59" s="96"/>
      <c r="I59" s="155"/>
      <c r="J59" s="160"/>
      <c r="K59" s="160"/>
      <c r="L59" s="160"/>
      <c r="M59" s="160"/>
      <c r="N59" s="160"/>
      <c r="O59" s="160"/>
      <c r="P59" s="160"/>
      <c r="Q59" s="160"/>
      <c r="R59" s="16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60"/>
      <c r="AU59" s="120"/>
      <c r="AV59" s="120"/>
      <c r="AW59" s="120"/>
      <c r="AX59" s="120"/>
      <c r="AY59" s="120"/>
      <c r="AZ59" s="120"/>
      <c r="BA59" s="120"/>
      <c r="BB59" s="120"/>
    </row>
    <row r="60" spans="1:54" ht="12.75" customHeight="1">
      <c r="A60" s="308"/>
      <c r="B60" s="168" t="s">
        <v>546</v>
      </c>
      <c r="C60" s="305">
        <v>611127702</v>
      </c>
      <c r="D60" s="302">
        <v>31591.942</v>
      </c>
      <c r="E60" s="302">
        <v>31808.2868</v>
      </c>
      <c r="F60" s="155">
        <v>60</v>
      </c>
      <c r="G60" s="252">
        <f>E60-D60</f>
        <v>216.34480000000258</v>
      </c>
      <c r="H60" s="96"/>
      <c r="I60" s="155">
        <f>ROUND(F60*G60+H60,0)</f>
        <v>12981</v>
      </c>
      <c r="J60" s="160"/>
      <c r="K60" s="160"/>
      <c r="L60" s="160"/>
      <c r="M60" s="160"/>
      <c r="N60" s="160"/>
      <c r="O60" s="160"/>
      <c r="P60" s="160"/>
      <c r="Q60" s="160"/>
      <c r="R60" s="16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60"/>
      <c r="AU60" s="160"/>
      <c r="AV60" s="160"/>
      <c r="AW60" s="160"/>
      <c r="AX60" s="160"/>
      <c r="AY60" s="160"/>
      <c r="AZ60" s="160"/>
      <c r="BA60" s="160"/>
      <c r="BB60" s="160"/>
    </row>
    <row r="61" spans="1:54" ht="12.75" customHeight="1">
      <c r="A61" s="159"/>
      <c r="B61" s="168" t="s">
        <v>547</v>
      </c>
      <c r="C61" s="305">
        <v>611127555</v>
      </c>
      <c r="D61" s="302">
        <v>9265.4416</v>
      </c>
      <c r="E61" s="302">
        <v>9633.4164</v>
      </c>
      <c r="F61" s="155">
        <v>60</v>
      </c>
      <c r="G61" s="252">
        <f>E61-D61</f>
        <v>367.97479999999996</v>
      </c>
      <c r="H61" s="96"/>
      <c r="I61" s="155">
        <f>ROUND(F61*G61+H61,0)</f>
        <v>22078</v>
      </c>
      <c r="J61" s="160"/>
      <c r="K61" s="160"/>
      <c r="L61" s="160"/>
      <c r="M61" s="160"/>
      <c r="N61" s="160"/>
      <c r="O61" s="242"/>
      <c r="P61" s="243"/>
      <c r="Q61" s="160"/>
      <c r="R61" s="16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60"/>
      <c r="AU61" s="160"/>
      <c r="AV61" s="160"/>
      <c r="AW61" s="160"/>
      <c r="AX61" s="160"/>
      <c r="AY61" s="242"/>
      <c r="AZ61" s="243"/>
      <c r="BA61" s="160"/>
      <c r="BB61" s="160"/>
    </row>
    <row r="62" spans="1:54" ht="12.75" customHeight="1">
      <c r="A62" s="145" t="s">
        <v>258</v>
      </c>
      <c r="B62" s="143" t="s">
        <v>486</v>
      </c>
      <c r="C62" s="310"/>
      <c r="D62" s="232"/>
      <c r="E62" s="232"/>
      <c r="F62" s="155"/>
      <c r="G62" s="212"/>
      <c r="H62" s="96"/>
      <c r="I62" s="155"/>
      <c r="J62" s="160"/>
      <c r="K62" s="160"/>
      <c r="L62" s="160"/>
      <c r="M62" s="160"/>
      <c r="N62" s="160"/>
      <c r="O62" s="160"/>
      <c r="P62" s="160"/>
      <c r="Q62" s="160"/>
      <c r="R62" s="16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60"/>
      <c r="AU62" s="160"/>
      <c r="AV62" s="160"/>
      <c r="AW62" s="160"/>
      <c r="AX62" s="160"/>
      <c r="AY62" s="160"/>
      <c r="AZ62" s="160"/>
      <c r="BA62" s="160"/>
      <c r="BB62" s="160"/>
    </row>
    <row r="63" spans="1:54" ht="12.75" customHeight="1">
      <c r="A63" s="308"/>
      <c r="B63" s="173"/>
      <c r="C63" s="305">
        <v>1110171163</v>
      </c>
      <c r="D63" s="302">
        <v>1042.9236</v>
      </c>
      <c r="E63" s="302">
        <v>1106.676</v>
      </c>
      <c r="F63" s="155">
        <v>60</v>
      </c>
      <c r="G63" s="252">
        <f>E63-D63</f>
        <v>63.75239999999985</v>
      </c>
      <c r="H63" s="96"/>
      <c r="I63" s="155">
        <f>ROUND(F63*G63+H63,0)</f>
        <v>3825</v>
      </c>
      <c r="J63" s="243"/>
      <c r="K63" s="160"/>
      <c r="L63" s="160"/>
      <c r="M63" s="160"/>
      <c r="N63" s="160"/>
      <c r="O63" s="160"/>
      <c r="P63" s="189"/>
      <c r="Q63" s="160"/>
      <c r="R63" s="244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243"/>
      <c r="AU63" s="160"/>
      <c r="AV63" s="160"/>
      <c r="AW63" s="160"/>
      <c r="AX63" s="160"/>
      <c r="AY63" s="160"/>
      <c r="AZ63" s="189"/>
      <c r="BA63" s="160"/>
      <c r="BB63" s="244"/>
    </row>
    <row r="64" spans="1:54" ht="12.75" customHeight="1">
      <c r="A64" s="159"/>
      <c r="B64" s="173"/>
      <c r="C64" s="305"/>
      <c r="D64" s="302"/>
      <c r="E64" s="302"/>
      <c r="F64" s="155"/>
      <c r="G64" s="252"/>
      <c r="H64" s="96"/>
      <c r="I64" s="155"/>
      <c r="J64" s="243"/>
      <c r="K64" s="160"/>
      <c r="L64" s="160"/>
      <c r="M64" s="160"/>
      <c r="N64" s="160"/>
      <c r="O64" s="160"/>
      <c r="P64" s="189"/>
      <c r="Q64" s="160"/>
      <c r="R64" s="244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243"/>
      <c r="AU64" s="160"/>
      <c r="AV64" s="160"/>
      <c r="AW64" s="160"/>
      <c r="AX64" s="160"/>
      <c r="AY64" s="160"/>
      <c r="AZ64" s="189"/>
      <c r="BA64" s="160"/>
      <c r="BB64" s="244"/>
    </row>
    <row r="65" spans="1:54" ht="12.75" customHeight="1">
      <c r="A65" s="145" t="s">
        <v>260</v>
      </c>
      <c r="B65" s="143" t="s">
        <v>487</v>
      </c>
      <c r="C65" s="311"/>
      <c r="D65" s="232"/>
      <c r="E65" s="232"/>
      <c r="F65" s="155"/>
      <c r="G65" s="212"/>
      <c r="H65" s="96"/>
      <c r="I65" s="155"/>
      <c r="J65" s="243"/>
      <c r="K65" s="160"/>
      <c r="L65" s="160"/>
      <c r="M65" s="160"/>
      <c r="N65" s="160"/>
      <c r="O65" s="160"/>
      <c r="P65" s="189"/>
      <c r="Q65" s="160"/>
      <c r="R65" s="244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243"/>
      <c r="AU65" s="160"/>
      <c r="AV65" s="160"/>
      <c r="AW65" s="160"/>
      <c r="AX65" s="160"/>
      <c r="AY65" s="160"/>
      <c r="AZ65" s="189"/>
      <c r="BA65" s="160"/>
      <c r="BB65" s="244"/>
    </row>
    <row r="66" spans="1:54" ht="12.75" customHeight="1">
      <c r="A66" s="159"/>
      <c r="B66" s="173"/>
      <c r="C66" s="305">
        <v>1110171170</v>
      </c>
      <c r="D66" s="302">
        <v>161.4472</v>
      </c>
      <c r="E66" s="302">
        <v>168.8616</v>
      </c>
      <c r="F66" s="155">
        <v>40</v>
      </c>
      <c r="G66" s="252">
        <f>E66-D66</f>
        <v>7.4144000000000005</v>
      </c>
      <c r="H66" s="155"/>
      <c r="I66" s="155">
        <f>ROUND(F66*G66+H66,0)</f>
        <v>297</v>
      </c>
      <c r="J66" s="243"/>
      <c r="K66" s="160"/>
      <c r="L66" s="160"/>
      <c r="M66" s="160"/>
      <c r="N66" s="160"/>
      <c r="O66" s="160"/>
      <c r="P66" s="189"/>
      <c r="Q66" s="160"/>
      <c r="R66" s="244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243"/>
      <c r="AU66" s="160"/>
      <c r="AV66" s="160"/>
      <c r="AW66" s="160"/>
      <c r="AX66" s="160"/>
      <c r="AY66" s="160"/>
      <c r="AZ66" s="189"/>
      <c r="BA66" s="160"/>
      <c r="BB66" s="244"/>
    </row>
    <row r="67" spans="1:54" ht="12.75" customHeight="1">
      <c r="A67" s="159"/>
      <c r="B67" s="173"/>
      <c r="C67" s="305"/>
      <c r="D67" s="302"/>
      <c r="E67" s="302"/>
      <c r="F67" s="155"/>
      <c r="G67" s="252"/>
      <c r="H67" s="155"/>
      <c r="I67" s="155"/>
      <c r="J67" s="16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60"/>
      <c r="AU67" s="160"/>
      <c r="AV67" s="160"/>
      <c r="AW67" s="160"/>
      <c r="AX67" s="160"/>
      <c r="AY67" s="160"/>
      <c r="AZ67" s="160"/>
      <c r="BA67" s="160"/>
      <c r="BB67" s="160"/>
    </row>
    <row r="68" spans="1:54" ht="12.75" customHeight="1">
      <c r="A68" s="145" t="s">
        <v>261</v>
      </c>
      <c r="B68" s="143" t="s">
        <v>550</v>
      </c>
      <c r="C68" s="305">
        <v>611126342</v>
      </c>
      <c r="D68" s="302">
        <v>25782.5391</v>
      </c>
      <c r="E68" s="302">
        <v>25782.5391</v>
      </c>
      <c r="F68" s="155">
        <v>1800</v>
      </c>
      <c r="G68" s="252">
        <f>E68-D68</f>
        <v>0</v>
      </c>
      <c r="H68" s="155"/>
      <c r="I68" s="155">
        <f>ROUND(F68*G68+H68,0)</f>
        <v>0</v>
      </c>
      <c r="J68" s="160"/>
      <c r="K68" s="160"/>
      <c r="L68" s="160"/>
      <c r="M68" s="160"/>
      <c r="N68" s="160"/>
      <c r="O68" s="160"/>
      <c r="P68" s="160"/>
      <c r="Q68" s="160"/>
      <c r="R68" s="16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60"/>
      <c r="AU68" s="160"/>
      <c r="AV68" s="160"/>
      <c r="AW68" s="160"/>
      <c r="AX68" s="160"/>
      <c r="AY68" s="160"/>
      <c r="AZ68" s="160"/>
      <c r="BA68" s="160"/>
      <c r="BB68" s="160"/>
    </row>
    <row r="69" spans="1:54" ht="12.75" customHeight="1">
      <c r="A69" s="159"/>
      <c r="B69" s="173" t="s">
        <v>551</v>
      </c>
      <c r="C69" s="305">
        <v>611126404</v>
      </c>
      <c r="D69" s="302">
        <v>570.4124</v>
      </c>
      <c r="E69" s="302">
        <v>576.0523</v>
      </c>
      <c r="F69" s="155">
        <v>1800</v>
      </c>
      <c r="G69" s="252">
        <f>E69-D69</f>
        <v>5.639899999999898</v>
      </c>
      <c r="H69" s="155"/>
      <c r="I69" s="155">
        <f>ROUND((F69*G69+H69),0)</f>
        <v>10152</v>
      </c>
      <c r="J69" s="160"/>
      <c r="K69" s="160"/>
      <c r="L69" s="160"/>
      <c r="M69" s="160"/>
      <c r="N69" s="160"/>
      <c r="O69" s="242"/>
      <c r="P69" s="243"/>
      <c r="Q69" s="160"/>
      <c r="R69" s="16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60"/>
      <c r="AU69" s="160"/>
      <c r="AV69" s="160"/>
      <c r="AW69" s="160"/>
      <c r="AX69" s="160"/>
      <c r="AY69" s="242"/>
      <c r="AZ69" s="243"/>
      <c r="BA69" s="160"/>
      <c r="BB69" s="160"/>
    </row>
    <row r="70" spans="1:54" ht="12.75" customHeight="1">
      <c r="A70" s="103"/>
      <c r="B70" s="144" t="s">
        <v>509</v>
      </c>
      <c r="C70" s="305">
        <v>611126334</v>
      </c>
      <c r="D70" s="302">
        <v>2.3724</v>
      </c>
      <c r="E70" s="302">
        <v>2.3724</v>
      </c>
      <c r="F70" s="155">
        <v>1800</v>
      </c>
      <c r="G70" s="252">
        <f>E70-D70</f>
        <v>0</v>
      </c>
      <c r="H70" s="96"/>
      <c r="I70" s="155">
        <f>ROUND(F70*G70+H70,0)</f>
        <v>0</v>
      </c>
      <c r="J70" s="160"/>
      <c r="K70" s="160"/>
      <c r="L70" s="160"/>
      <c r="M70" s="160"/>
      <c r="N70" s="160"/>
      <c r="O70" s="160"/>
      <c r="P70" s="160"/>
      <c r="Q70" s="160"/>
      <c r="R70" s="16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60"/>
      <c r="AU70" s="160"/>
      <c r="AV70" s="160"/>
      <c r="AW70" s="160"/>
      <c r="AX70" s="160"/>
      <c r="AY70" s="160"/>
      <c r="AZ70" s="160"/>
      <c r="BA70" s="160"/>
      <c r="BB70" s="160"/>
    </row>
    <row r="71" spans="1:54" ht="12.75" customHeight="1">
      <c r="A71" s="159" t="s">
        <v>477</v>
      </c>
      <c r="B71" s="173" t="s">
        <v>488</v>
      </c>
      <c r="C71" s="305">
        <v>611127724</v>
      </c>
      <c r="D71" s="302">
        <v>1877.5788</v>
      </c>
      <c r="E71" s="302">
        <v>1887.3304</v>
      </c>
      <c r="F71" s="155">
        <v>30</v>
      </c>
      <c r="G71" s="252">
        <f>E71-D71</f>
        <v>9.751600000000053</v>
      </c>
      <c r="H71" s="155"/>
      <c r="I71" s="155">
        <f>ROUND(F71*G71+H71,0)</f>
        <v>293</v>
      </c>
      <c r="J71" s="243"/>
      <c r="K71" s="160"/>
      <c r="L71" s="160"/>
      <c r="M71" s="160"/>
      <c r="N71" s="160"/>
      <c r="O71" s="160"/>
      <c r="P71" s="189"/>
      <c r="Q71" s="160"/>
      <c r="R71" s="244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243"/>
      <c r="AU71" s="160"/>
      <c r="AV71" s="160"/>
      <c r="AW71" s="160"/>
      <c r="AX71" s="160"/>
      <c r="AY71" s="160"/>
      <c r="AZ71" s="189"/>
      <c r="BA71" s="160"/>
      <c r="BB71" s="244"/>
    </row>
    <row r="72" spans="1:54" ht="12.75" customHeight="1">
      <c r="A72" s="103"/>
      <c r="B72" s="173" t="s">
        <v>542</v>
      </c>
      <c r="C72" s="305"/>
      <c r="D72" s="306"/>
      <c r="E72" s="306"/>
      <c r="F72" s="155"/>
      <c r="G72" s="212"/>
      <c r="H72" s="155"/>
      <c r="I72" s="155"/>
      <c r="J72" s="243"/>
      <c r="K72" s="160" t="s">
        <v>576</v>
      </c>
      <c r="L72" s="160"/>
      <c r="M72" s="160"/>
      <c r="N72" s="160"/>
      <c r="O72" s="160"/>
      <c r="P72" s="189"/>
      <c r="Q72" s="160"/>
      <c r="R72" s="244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243"/>
      <c r="AU72" s="160"/>
      <c r="AV72" s="160"/>
      <c r="AW72" s="160"/>
      <c r="AX72" s="160"/>
      <c r="AY72" s="160"/>
      <c r="AZ72" s="189"/>
      <c r="BA72" s="160"/>
      <c r="BB72" s="244"/>
    </row>
    <row r="73" spans="1:54" ht="12.75" customHeight="1">
      <c r="A73" s="96"/>
      <c r="B73" s="312"/>
      <c r="C73" s="171"/>
      <c r="D73" s="212"/>
      <c r="E73" s="212"/>
      <c r="F73" s="155"/>
      <c r="G73" s="212"/>
      <c r="H73" s="155"/>
      <c r="I73" s="155"/>
      <c r="J73" s="243"/>
      <c r="K73" s="160" t="s">
        <v>577</v>
      </c>
      <c r="L73" s="160"/>
      <c r="M73" s="160"/>
      <c r="N73" s="160"/>
      <c r="O73" s="160"/>
      <c r="P73" s="189"/>
      <c r="Q73" s="160"/>
      <c r="R73" s="244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243"/>
      <c r="AU73" s="160"/>
      <c r="AV73" s="160"/>
      <c r="AW73" s="160"/>
      <c r="AX73" s="160"/>
      <c r="AY73" s="160"/>
      <c r="AZ73" s="189"/>
      <c r="BA73" s="160"/>
      <c r="BB73" s="244"/>
    </row>
    <row r="74" spans="1:54" ht="12.75" customHeight="1">
      <c r="A74" s="103"/>
      <c r="B74" s="148"/>
      <c r="C74" s="150"/>
      <c r="D74" s="150"/>
      <c r="E74" s="150"/>
      <c r="F74" s="150" t="s">
        <v>264</v>
      </c>
      <c r="G74" s="150"/>
      <c r="H74" s="151"/>
      <c r="I74" s="235">
        <f>ROUND((SUM(I50:I69)-I73),0)</f>
        <v>202591</v>
      </c>
      <c r="J74" s="243"/>
      <c r="K74" s="160"/>
      <c r="L74" s="160"/>
      <c r="M74" s="160"/>
      <c r="N74" s="160"/>
      <c r="O74" s="160"/>
      <c r="P74" s="189"/>
      <c r="Q74" s="160"/>
      <c r="R74" s="244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243"/>
      <c r="AU74" s="160"/>
      <c r="AV74" s="160"/>
      <c r="AW74" s="160"/>
      <c r="AX74" s="160"/>
      <c r="AY74" s="160"/>
      <c r="AZ74" s="189"/>
      <c r="BA74" s="160"/>
      <c r="BB74" s="244"/>
    </row>
    <row r="75" spans="1:54" ht="12.75" customHeight="1">
      <c r="A75" s="102"/>
      <c r="B75" s="150"/>
      <c r="C75" s="150"/>
      <c r="D75" s="150"/>
      <c r="E75" s="150"/>
      <c r="F75" s="150"/>
      <c r="G75" s="150" t="s">
        <v>265</v>
      </c>
      <c r="H75" s="151"/>
      <c r="I75" s="235">
        <f>ROUND((I18+I20-I47-I74),0)</f>
        <v>4055801</v>
      </c>
      <c r="J75" s="160"/>
      <c r="K75" s="160">
        <f>I18+I20+I22-I47-I74</f>
        <v>4121862</v>
      </c>
      <c r="L75" s="160"/>
      <c r="M75" s="160"/>
      <c r="N75" s="160"/>
      <c r="O75" s="160"/>
      <c r="P75" s="190"/>
      <c r="Q75" s="160"/>
      <c r="R75" s="24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60"/>
      <c r="AU75" s="160"/>
      <c r="AV75" s="160"/>
      <c r="AW75" s="160"/>
      <c r="AX75" s="160"/>
      <c r="AY75" s="160"/>
      <c r="AZ75" s="190"/>
      <c r="BA75" s="160"/>
      <c r="BB75" s="240"/>
    </row>
    <row r="76" spans="1:54" ht="12.75" customHeight="1">
      <c r="A76" s="96" t="s">
        <v>272</v>
      </c>
      <c r="B76" s="102" t="s">
        <v>266</v>
      </c>
      <c r="C76" s="150"/>
      <c r="D76" s="150"/>
      <c r="E76" s="150"/>
      <c r="F76" s="150"/>
      <c r="G76" s="150"/>
      <c r="H76" s="150"/>
      <c r="I76" s="151"/>
      <c r="J76" s="160"/>
      <c r="K76" s="160"/>
      <c r="L76" s="160"/>
      <c r="M76" s="160"/>
      <c r="N76" s="160"/>
      <c r="O76" s="160"/>
      <c r="P76" s="190"/>
      <c r="Q76" s="160"/>
      <c r="R76" s="24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60"/>
      <c r="AU76" s="160"/>
      <c r="AV76" s="160"/>
      <c r="AW76" s="160"/>
      <c r="AX76" s="160"/>
      <c r="AY76" s="160"/>
      <c r="AZ76" s="190"/>
      <c r="BA76" s="160"/>
      <c r="BB76" s="240"/>
    </row>
    <row r="77" spans="1:54" ht="12.75" customHeight="1">
      <c r="A77" s="143" t="s">
        <v>270</v>
      </c>
      <c r="B77" s="143" t="s">
        <v>267</v>
      </c>
      <c r="C77" s="171">
        <v>18705639</v>
      </c>
      <c r="D77" s="234">
        <v>18803</v>
      </c>
      <c r="E77" s="234">
        <v>18826</v>
      </c>
      <c r="F77" s="175">
        <v>30</v>
      </c>
      <c r="G77" s="322">
        <f>E77-D77</f>
        <v>23</v>
      </c>
      <c r="H77" s="143">
        <v>1297</v>
      </c>
      <c r="I77" s="175">
        <f>F77*G77+H77</f>
        <v>1987</v>
      </c>
      <c r="J77" s="160"/>
      <c r="K77" s="160"/>
      <c r="L77" s="160"/>
      <c r="M77" s="160"/>
      <c r="N77" s="160"/>
      <c r="O77" s="160"/>
      <c r="P77" s="190"/>
      <c r="Q77" s="160"/>
      <c r="R77" s="24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60"/>
      <c r="AU77" s="160"/>
      <c r="AV77" s="160"/>
      <c r="AW77" s="160"/>
      <c r="AX77" s="160"/>
      <c r="AY77" s="160"/>
      <c r="AZ77" s="190"/>
      <c r="BA77" s="160"/>
      <c r="BB77" s="240"/>
    </row>
    <row r="78" spans="1:54" ht="12.75" customHeight="1">
      <c r="A78" s="144"/>
      <c r="B78" s="144" t="s">
        <v>268</v>
      </c>
      <c r="C78" s="169"/>
      <c r="D78" s="144"/>
      <c r="E78" s="144"/>
      <c r="F78" s="164"/>
      <c r="G78" s="144"/>
      <c r="H78" s="144"/>
      <c r="I78" s="144"/>
      <c r="J78" s="160"/>
      <c r="K78" s="160"/>
      <c r="L78" s="160"/>
      <c r="M78" s="160"/>
      <c r="N78" s="160"/>
      <c r="O78" s="160"/>
      <c r="P78" s="190"/>
      <c r="Q78" s="160"/>
      <c r="R78" s="24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60"/>
      <c r="AU78" s="160"/>
      <c r="AV78" s="160"/>
      <c r="AW78" s="160"/>
      <c r="AX78" s="160"/>
      <c r="AY78" s="160"/>
      <c r="AZ78" s="190"/>
      <c r="BA78" s="160"/>
      <c r="BB78" s="240"/>
    </row>
    <row r="79" spans="1:54" ht="12.75" customHeight="1">
      <c r="A79" s="143" t="s">
        <v>271</v>
      </c>
      <c r="B79" s="143" t="s">
        <v>269</v>
      </c>
      <c r="C79" s="171">
        <v>18705843</v>
      </c>
      <c r="D79" s="234">
        <v>1070.8</v>
      </c>
      <c r="E79" s="234">
        <v>1070.8</v>
      </c>
      <c r="F79" s="175">
        <v>30</v>
      </c>
      <c r="G79" s="233">
        <f>E79-D79</f>
        <v>0</v>
      </c>
      <c r="H79" s="143">
        <v>0</v>
      </c>
      <c r="I79" s="175">
        <f>F79*G79+H79</f>
        <v>0</v>
      </c>
      <c r="J79" s="160"/>
      <c r="K79" s="160"/>
      <c r="L79" s="160"/>
      <c r="M79" s="160"/>
      <c r="N79" s="160"/>
      <c r="O79" s="160"/>
      <c r="P79" s="190"/>
      <c r="Q79" s="160"/>
      <c r="R79" s="24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60"/>
      <c r="AU79" s="160"/>
      <c r="AV79" s="160"/>
      <c r="AW79" s="160"/>
      <c r="AX79" s="160"/>
      <c r="AY79" s="160"/>
      <c r="AZ79" s="190"/>
      <c r="BA79" s="160"/>
      <c r="BB79" s="240"/>
    </row>
    <row r="80" spans="1:54" ht="12.75" customHeight="1">
      <c r="A80" s="144"/>
      <c r="B80" s="144" t="s">
        <v>268</v>
      </c>
      <c r="C80" s="169"/>
      <c r="D80" s="144"/>
      <c r="E80" s="144"/>
      <c r="F80" s="164"/>
      <c r="G80" s="144"/>
      <c r="H80" s="144"/>
      <c r="I80" s="144"/>
      <c r="J80" s="160"/>
      <c r="K80" s="160"/>
      <c r="L80" s="160"/>
      <c r="M80" s="160"/>
      <c r="N80" s="160"/>
      <c r="O80" s="160"/>
      <c r="P80" s="190"/>
      <c r="Q80" s="160"/>
      <c r="R80" s="24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60"/>
      <c r="AU80" s="160"/>
      <c r="AV80" s="160"/>
      <c r="AW80" s="160"/>
      <c r="AX80" s="160"/>
      <c r="AY80" s="160"/>
      <c r="AZ80" s="190"/>
      <c r="BA80" s="160"/>
      <c r="BB80" s="240"/>
    </row>
    <row r="81" spans="1:54" ht="12.75" customHeight="1">
      <c r="A81" s="102"/>
      <c r="B81" s="150"/>
      <c r="C81" s="217"/>
      <c r="D81" s="199"/>
      <c r="E81" s="218"/>
      <c r="F81" s="218" t="s">
        <v>273</v>
      </c>
      <c r="G81" s="219"/>
      <c r="H81" s="151"/>
      <c r="I81" s="155">
        <f>I77+I79</f>
        <v>1987</v>
      </c>
      <c r="J81" s="243"/>
      <c r="K81" s="160"/>
      <c r="L81" s="160"/>
      <c r="M81" s="160"/>
      <c r="N81" s="160"/>
      <c r="O81" s="160"/>
      <c r="P81" s="189"/>
      <c r="Q81" s="160"/>
      <c r="R81" s="244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243"/>
      <c r="AU81" s="160"/>
      <c r="AV81" s="160"/>
      <c r="AW81" s="160"/>
      <c r="AX81" s="160"/>
      <c r="AY81" s="160"/>
      <c r="AZ81" s="189"/>
      <c r="BA81" s="160"/>
      <c r="BB81" s="244"/>
    </row>
    <row r="82" spans="1:54" ht="12.75" customHeight="1">
      <c r="A82" s="102"/>
      <c r="B82" s="150"/>
      <c r="C82" s="217"/>
      <c r="D82" s="199"/>
      <c r="E82" s="218"/>
      <c r="F82" s="218"/>
      <c r="G82" s="219" t="s">
        <v>274</v>
      </c>
      <c r="H82" s="151"/>
      <c r="I82" s="235">
        <f>I75+I81</f>
        <v>4057788</v>
      </c>
      <c r="J82" s="160"/>
      <c r="K82" s="160"/>
      <c r="L82" s="160"/>
      <c r="M82" s="160"/>
      <c r="N82" s="160"/>
      <c r="O82" s="160"/>
      <c r="P82" s="190"/>
      <c r="Q82" s="160"/>
      <c r="R82" s="24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60"/>
      <c r="AU82" s="160"/>
      <c r="AV82" s="160"/>
      <c r="AW82" s="160"/>
      <c r="AX82" s="160"/>
      <c r="AY82" s="160"/>
      <c r="AZ82" s="190"/>
      <c r="BA82" s="160"/>
      <c r="BB82" s="240"/>
    </row>
    <row r="83" spans="1:54" ht="12.75" customHeight="1">
      <c r="A83" s="145" t="s">
        <v>275</v>
      </c>
      <c r="B83" s="146"/>
      <c r="C83" s="220"/>
      <c r="D83" s="202"/>
      <c r="E83" s="221"/>
      <c r="F83" s="221"/>
      <c r="G83" s="204"/>
      <c r="H83" s="146"/>
      <c r="I83" s="205"/>
      <c r="J83" s="160"/>
      <c r="K83" s="160"/>
      <c r="L83" s="160"/>
      <c r="M83" s="160"/>
      <c r="N83" s="160"/>
      <c r="O83" s="160"/>
      <c r="P83" s="190"/>
      <c r="Q83" s="160"/>
      <c r="R83" s="24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60"/>
      <c r="AU83" s="160"/>
      <c r="AV83" s="160"/>
      <c r="AW83" s="160"/>
      <c r="AX83" s="160"/>
      <c r="AY83" s="160"/>
      <c r="AZ83" s="190"/>
      <c r="BA83" s="160"/>
      <c r="BB83" s="240"/>
    </row>
    <row r="84" spans="1:54" ht="12.75" customHeight="1">
      <c r="A84" s="222" t="s">
        <v>538</v>
      </c>
      <c r="B84" s="223"/>
      <c r="C84" s="223"/>
      <c r="D84" s="191"/>
      <c r="E84" s="148"/>
      <c r="F84" s="148"/>
      <c r="G84" s="148"/>
      <c r="H84" s="148"/>
      <c r="I84" s="209"/>
      <c r="J84" s="160"/>
      <c r="K84" s="160"/>
      <c r="L84" s="160"/>
      <c r="M84" s="160"/>
      <c r="N84" s="160"/>
      <c r="O84" s="160"/>
      <c r="P84" s="190"/>
      <c r="Q84" s="160"/>
      <c r="R84" s="24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60"/>
      <c r="AU84" s="160"/>
      <c r="AV84" s="160"/>
      <c r="AW84" s="160"/>
      <c r="AX84" s="160"/>
      <c r="AY84" s="160"/>
      <c r="AZ84" s="190"/>
      <c r="BA84" s="160"/>
      <c r="BB84" s="240"/>
    </row>
    <row r="85" spans="1:54" ht="12.75" customHeight="1">
      <c r="A85" s="160" t="s">
        <v>279</v>
      </c>
      <c r="B85" s="160"/>
      <c r="C85" s="264"/>
      <c r="D85" s="181"/>
      <c r="E85" s="265"/>
      <c r="F85" s="265"/>
      <c r="G85" s="188"/>
      <c r="H85" s="160"/>
      <c r="I85" s="190"/>
      <c r="J85" s="160"/>
      <c r="K85" s="160"/>
      <c r="L85" s="160"/>
      <c r="M85" s="160"/>
      <c r="N85" s="160"/>
      <c r="O85" s="160"/>
      <c r="P85" s="190"/>
      <c r="Q85" s="160"/>
      <c r="R85" s="24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60"/>
      <c r="AU85" s="160"/>
      <c r="AV85" s="160"/>
      <c r="AW85" s="160"/>
      <c r="AX85" s="160"/>
      <c r="AY85" s="160"/>
      <c r="AZ85" s="190"/>
      <c r="BA85" s="160"/>
      <c r="BB85" s="240"/>
    </row>
    <row r="86" spans="1:54" ht="12.75" customHeight="1">
      <c r="A86" s="160"/>
      <c r="B86" s="160"/>
      <c r="C86" s="181"/>
      <c r="D86" s="313" t="s">
        <v>280</v>
      </c>
      <c r="E86" s="313"/>
      <c r="F86" s="314"/>
      <c r="G86" s="243"/>
      <c r="H86" s="243"/>
      <c r="I86" s="189"/>
      <c r="J86" s="160"/>
      <c r="K86" s="160"/>
      <c r="L86" s="188"/>
      <c r="M86" s="188"/>
      <c r="N86" s="160"/>
      <c r="O86" s="160"/>
      <c r="P86" s="190"/>
      <c r="Q86" s="160"/>
      <c r="R86" s="24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60"/>
      <c r="AU86" s="160"/>
      <c r="AV86" s="188"/>
      <c r="AW86" s="188"/>
      <c r="AX86" s="160"/>
      <c r="AY86" s="160"/>
      <c r="AZ86" s="190"/>
      <c r="BA86" s="160"/>
      <c r="BB86" s="240"/>
    </row>
    <row r="87" spans="1:54" ht="12.75" customHeight="1">
      <c r="A87" s="160"/>
      <c r="B87" s="160"/>
      <c r="C87" s="181"/>
      <c r="D87" s="313" t="s">
        <v>531</v>
      </c>
      <c r="E87" s="313"/>
      <c r="F87" s="314"/>
      <c r="G87" s="243"/>
      <c r="H87" s="243"/>
      <c r="I87" s="189"/>
      <c r="J87" s="243"/>
      <c r="K87" s="160"/>
      <c r="L87" s="160"/>
      <c r="M87" s="160"/>
      <c r="N87" s="160"/>
      <c r="O87" s="160"/>
      <c r="P87" s="189"/>
      <c r="Q87" s="160"/>
      <c r="R87" s="244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243"/>
      <c r="AU87" s="160"/>
      <c r="AV87" s="160"/>
      <c r="AW87" s="160"/>
      <c r="AX87" s="160"/>
      <c r="AY87" s="160"/>
      <c r="AZ87" s="189"/>
      <c r="BA87" s="160"/>
      <c r="BB87" s="244"/>
    </row>
    <row r="88" spans="1:54" ht="12.75" customHeight="1">
      <c r="A88" s="160"/>
      <c r="B88" s="160"/>
      <c r="C88" s="264"/>
      <c r="D88" s="313" t="s">
        <v>539</v>
      </c>
      <c r="E88" s="313"/>
      <c r="F88" s="314"/>
      <c r="G88" s="243"/>
      <c r="H88" s="243"/>
      <c r="I88" s="189"/>
      <c r="J88" s="160"/>
      <c r="K88" s="160"/>
      <c r="L88" s="160"/>
      <c r="M88" s="160"/>
      <c r="N88" s="160"/>
      <c r="O88" s="160"/>
      <c r="P88" s="190"/>
      <c r="Q88" s="160"/>
      <c r="R88" s="24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60"/>
      <c r="AU88" s="160"/>
      <c r="AV88" s="160"/>
      <c r="AW88" s="160"/>
      <c r="AX88" s="160"/>
      <c r="AY88" s="160"/>
      <c r="AZ88" s="190"/>
      <c r="BA88" s="160"/>
      <c r="BB88" s="240"/>
    </row>
    <row r="89" spans="1:54" ht="12.75" customHeight="1">
      <c r="A89" s="120"/>
      <c r="B89" s="120"/>
      <c r="C89" s="120"/>
      <c r="D89" s="120" t="s">
        <v>192</v>
      </c>
      <c r="E89" s="120"/>
      <c r="F89" s="120"/>
      <c r="G89" s="120"/>
      <c r="H89" s="120"/>
      <c r="I89" s="120"/>
      <c r="J89" s="160"/>
      <c r="K89" s="160"/>
      <c r="L89" s="160"/>
      <c r="M89" s="160"/>
      <c r="N89" s="160"/>
      <c r="O89" s="160"/>
      <c r="P89" s="190"/>
      <c r="Q89" s="160"/>
      <c r="R89" s="24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60" t="s">
        <v>530</v>
      </c>
      <c r="AU89" s="120"/>
      <c r="AV89" s="120"/>
      <c r="AW89" s="120"/>
      <c r="AX89" s="120"/>
      <c r="AY89" s="120"/>
      <c r="AZ89" s="120"/>
      <c r="BA89" s="120"/>
      <c r="BB89" s="120"/>
    </row>
    <row r="90" spans="1:54" ht="12.75" customHeight="1">
      <c r="A90" s="120"/>
      <c r="B90" s="120"/>
      <c r="C90" s="120"/>
      <c r="D90" s="120" t="s">
        <v>193</v>
      </c>
      <c r="E90" s="120"/>
      <c r="F90" s="120"/>
      <c r="G90" s="120"/>
      <c r="H90" s="120"/>
      <c r="I90" s="120"/>
      <c r="J90" s="243"/>
      <c r="K90" s="160"/>
      <c r="L90" s="160"/>
      <c r="M90" s="160"/>
      <c r="N90" s="160"/>
      <c r="O90" s="160"/>
      <c r="P90" s="189"/>
      <c r="Q90" s="160"/>
      <c r="R90" s="244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60" t="s">
        <v>535</v>
      </c>
      <c r="AU90" s="120"/>
      <c r="AV90" s="120"/>
      <c r="AW90" s="120"/>
      <c r="AX90" s="120"/>
      <c r="AY90" s="120"/>
      <c r="AZ90" s="120"/>
      <c r="BA90" s="120"/>
      <c r="BB90" s="120"/>
    </row>
    <row r="91" spans="1:54" ht="12.75" customHeight="1">
      <c r="A91" s="120"/>
      <c r="B91" s="120"/>
      <c r="C91" s="120"/>
      <c r="D91" s="120"/>
      <c r="E91" s="120"/>
      <c r="F91" s="120"/>
      <c r="G91" s="120"/>
      <c r="H91" s="120"/>
      <c r="I91" s="120"/>
      <c r="J91" s="243"/>
      <c r="K91" s="160"/>
      <c r="L91" s="160"/>
      <c r="M91" s="160"/>
      <c r="N91" s="160"/>
      <c r="O91" s="160"/>
      <c r="P91" s="189"/>
      <c r="Q91" s="160"/>
      <c r="R91" s="244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60"/>
      <c r="AU91" s="120" t="s">
        <v>4</v>
      </c>
      <c r="AV91" s="120"/>
      <c r="AW91" s="120"/>
      <c r="AX91" s="120"/>
      <c r="AY91" s="254" t="s">
        <v>72</v>
      </c>
      <c r="AZ91" s="196" t="s">
        <v>557</v>
      </c>
      <c r="BA91" s="120"/>
      <c r="BB91" s="120"/>
    </row>
    <row r="92" spans="1:54" ht="12.75" customHeight="1">
      <c r="A92" s="120"/>
      <c r="B92" s="120"/>
      <c r="C92" s="120" t="s">
        <v>194</v>
      </c>
      <c r="D92" s="120"/>
      <c r="E92" s="120"/>
      <c r="F92" s="120"/>
      <c r="G92" s="120"/>
      <c r="H92" s="120"/>
      <c r="I92" s="120"/>
      <c r="J92" s="243"/>
      <c r="K92" s="160"/>
      <c r="L92" s="160"/>
      <c r="M92" s="160"/>
      <c r="N92" s="160"/>
      <c r="O92" s="160"/>
      <c r="P92" s="189"/>
      <c r="Q92" s="160"/>
      <c r="R92" s="244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50" t="s">
        <v>108</v>
      </c>
      <c r="AU92" s="150"/>
      <c r="AV92" s="150"/>
      <c r="AW92" s="150"/>
      <c r="AX92" s="150"/>
      <c r="AY92" s="151"/>
      <c r="AZ92" s="96" t="s">
        <v>175</v>
      </c>
      <c r="BA92" s="96"/>
      <c r="BB92" s="96" t="s">
        <v>109</v>
      </c>
    </row>
    <row r="93" spans="1:54" ht="12.75" customHeight="1">
      <c r="A93" s="120"/>
      <c r="B93" s="120"/>
      <c r="C93" s="120"/>
      <c r="D93" s="277" t="s">
        <v>586</v>
      </c>
      <c r="E93" s="277"/>
      <c r="F93" s="120"/>
      <c r="G93" s="120"/>
      <c r="H93" s="120"/>
      <c r="I93" s="120"/>
      <c r="J93" s="243"/>
      <c r="K93" s="160"/>
      <c r="L93" s="160"/>
      <c r="M93" s="160"/>
      <c r="N93" s="160"/>
      <c r="O93" s="160"/>
      <c r="P93" s="189"/>
      <c r="Q93" s="160"/>
      <c r="R93" s="244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273" t="s">
        <v>301</v>
      </c>
      <c r="AU93" s="150"/>
      <c r="AV93" s="150"/>
      <c r="AW93" s="150"/>
      <c r="AX93" s="150"/>
      <c r="AY93" s="151"/>
      <c r="AZ93" s="235">
        <v>35423</v>
      </c>
      <c r="BA93" s="199"/>
      <c r="BB93" s="299">
        <f>AZ93*BB58</f>
        <v>104445.6910642471</v>
      </c>
    </row>
    <row r="94" spans="1:54" ht="12.75" customHeight="1">
      <c r="A94" s="120" t="s">
        <v>528</v>
      </c>
      <c r="B94" s="120"/>
      <c r="C94" s="120"/>
      <c r="D94" s="120"/>
      <c r="E94" s="120"/>
      <c r="F94" s="120"/>
      <c r="G94" s="120"/>
      <c r="H94" s="120"/>
      <c r="I94" s="120"/>
      <c r="J94" s="243"/>
      <c r="K94" s="160"/>
      <c r="L94" s="160"/>
      <c r="M94" s="160"/>
      <c r="N94" s="160"/>
      <c r="O94" s="160"/>
      <c r="P94" s="189"/>
      <c r="Q94" s="160"/>
      <c r="R94" s="244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273" t="s">
        <v>300</v>
      </c>
      <c r="AU94" s="150"/>
      <c r="AV94" s="150"/>
      <c r="AW94" s="150"/>
      <c r="AX94" s="150"/>
      <c r="AY94" s="151"/>
      <c r="AZ94" s="235">
        <f>AZ131-SUM(AZ112:AZ120)-AZ109-AZ103-AZ96-AZ95-AZ93</f>
        <v>3339724</v>
      </c>
      <c r="BA94" s="199"/>
      <c r="BB94" s="299">
        <f>AZ94*BB58</f>
        <v>9847268.191396877</v>
      </c>
    </row>
    <row r="95" spans="1:54" ht="12.75" customHeight="1">
      <c r="A95" s="120" t="s">
        <v>196</v>
      </c>
      <c r="B95" s="120"/>
      <c r="C95" s="120"/>
      <c r="D95" s="120"/>
      <c r="E95" s="120"/>
      <c r="F95" s="120"/>
      <c r="G95" s="120"/>
      <c r="H95" s="120"/>
      <c r="I95" s="120"/>
      <c r="J95" s="243"/>
      <c r="K95" s="243"/>
      <c r="L95" s="160"/>
      <c r="M95" s="160"/>
      <c r="N95" s="160"/>
      <c r="O95" s="160"/>
      <c r="P95" s="189"/>
      <c r="Q95" s="160"/>
      <c r="R95" s="244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273" t="s">
        <v>537</v>
      </c>
      <c r="AU95" s="150"/>
      <c r="AV95" s="150"/>
      <c r="AW95" s="150"/>
      <c r="AX95" s="150"/>
      <c r="AY95" s="151"/>
      <c r="AZ95" s="235">
        <v>61675</v>
      </c>
      <c r="BA95" s="199"/>
      <c r="BB95" s="299">
        <f>AZ95*BB58</f>
        <v>181850.43605531548</v>
      </c>
    </row>
    <row r="96" spans="1:54" ht="12.75" customHeight="1">
      <c r="A96" s="120" t="s">
        <v>198</v>
      </c>
      <c r="B96" s="120"/>
      <c r="C96" s="120"/>
      <c r="D96" s="120"/>
      <c r="E96" s="120"/>
      <c r="F96" s="120" t="s">
        <v>197</v>
      </c>
      <c r="G96" s="120"/>
      <c r="H96" s="120"/>
      <c r="I96" s="120"/>
      <c r="J96" s="243"/>
      <c r="K96" s="243"/>
      <c r="L96" s="160"/>
      <c r="M96" s="160"/>
      <c r="N96" s="160"/>
      <c r="O96" s="160"/>
      <c r="P96" s="189"/>
      <c r="Q96" s="160"/>
      <c r="R96" s="244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255" t="s">
        <v>85</v>
      </c>
      <c r="AU96" s="146"/>
      <c r="AV96" s="146"/>
      <c r="AW96" s="146"/>
      <c r="AX96" s="146"/>
      <c r="AY96" s="147"/>
      <c r="AZ96" s="300">
        <f>SUM(AZ97:AZ102)</f>
        <v>497975</v>
      </c>
      <c r="BA96" s="202"/>
      <c r="BB96" s="299">
        <f>AZ96*BB58</f>
        <v>1468293.0019399389</v>
      </c>
    </row>
    <row r="97" spans="1:54" ht="12.75" customHeight="1">
      <c r="A97" s="143" t="s">
        <v>335</v>
      </c>
      <c r="B97" s="171" t="s">
        <v>199</v>
      </c>
      <c r="C97" s="143" t="s">
        <v>200</v>
      </c>
      <c r="D97" s="224" t="s">
        <v>286</v>
      </c>
      <c r="E97" s="225"/>
      <c r="F97" s="143" t="s">
        <v>201</v>
      </c>
      <c r="G97" s="143" t="s">
        <v>404</v>
      </c>
      <c r="H97" s="143" t="s">
        <v>202</v>
      </c>
      <c r="I97" s="143" t="s">
        <v>191</v>
      </c>
      <c r="J97" s="243"/>
      <c r="K97" s="243"/>
      <c r="L97" s="160"/>
      <c r="M97" s="160"/>
      <c r="N97" s="160"/>
      <c r="O97" s="160"/>
      <c r="P97" s="189"/>
      <c r="Q97" s="160"/>
      <c r="R97" s="244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59" t="s">
        <v>87</v>
      </c>
      <c r="AU97" s="160"/>
      <c r="AV97" s="160"/>
      <c r="AW97" s="160"/>
      <c r="AX97" s="160"/>
      <c r="AY97" s="161"/>
      <c r="AZ97" s="163">
        <v>130391</v>
      </c>
      <c r="BA97" s="181"/>
      <c r="BB97" s="299">
        <f>AZ97*BB58</f>
        <v>384461.45452271815</v>
      </c>
    </row>
    <row r="98" spans="1:54" ht="12.75" customHeight="1">
      <c r="A98" s="173"/>
      <c r="B98" s="173"/>
      <c r="C98" s="173"/>
      <c r="D98" s="143" t="s">
        <v>203</v>
      </c>
      <c r="E98" s="145" t="s">
        <v>204</v>
      </c>
      <c r="F98" s="173" t="s">
        <v>205</v>
      </c>
      <c r="G98" s="173" t="s">
        <v>190</v>
      </c>
      <c r="H98" s="173"/>
      <c r="I98" s="173" t="s">
        <v>206</v>
      </c>
      <c r="J98" s="243"/>
      <c r="K98" s="243"/>
      <c r="L98" s="160"/>
      <c r="M98" s="160"/>
      <c r="N98" s="160"/>
      <c r="O98" s="160"/>
      <c r="P98" s="189"/>
      <c r="Q98" s="160"/>
      <c r="R98" s="244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59" t="s">
        <v>88</v>
      </c>
      <c r="AU98" s="160"/>
      <c r="AV98" s="160"/>
      <c r="AW98" s="160"/>
      <c r="AX98" s="160"/>
      <c r="AY98" s="161"/>
      <c r="AZ98" s="163">
        <v>278879</v>
      </c>
      <c r="BA98" s="181"/>
      <c r="BB98" s="299">
        <f>AZ98*BB58</f>
        <v>822282.4119443912</v>
      </c>
    </row>
    <row r="99" spans="1:54" ht="12.75" customHeight="1">
      <c r="A99" s="144"/>
      <c r="B99" s="144"/>
      <c r="C99" s="144"/>
      <c r="D99" s="144" t="s">
        <v>207</v>
      </c>
      <c r="E99" s="103" t="s">
        <v>207</v>
      </c>
      <c r="F99" s="144" t="s">
        <v>208</v>
      </c>
      <c r="G99" s="144"/>
      <c r="H99" s="144"/>
      <c r="I99" s="144"/>
      <c r="J99" s="160"/>
      <c r="K99" s="160"/>
      <c r="L99" s="160"/>
      <c r="M99" s="160"/>
      <c r="N99" s="160"/>
      <c r="O99" s="160"/>
      <c r="P99" s="189"/>
      <c r="Q99" s="160"/>
      <c r="R99" s="244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59" t="s">
        <v>89</v>
      </c>
      <c r="AU99" s="160"/>
      <c r="AV99" s="160"/>
      <c r="AW99" s="160"/>
      <c r="AX99" s="160"/>
      <c r="AY99" s="161"/>
      <c r="AZ99" s="163">
        <v>86875</v>
      </c>
      <c r="BA99" s="181"/>
      <c r="BB99" s="299">
        <f>AZ99*BB58</f>
        <v>256153.33007386353</v>
      </c>
    </row>
    <row r="100" spans="1:54" ht="12.75" customHeight="1">
      <c r="A100" s="152">
        <v>1</v>
      </c>
      <c r="B100" s="152">
        <v>2</v>
      </c>
      <c r="C100" s="152">
        <v>3</v>
      </c>
      <c r="D100" s="152">
        <v>4</v>
      </c>
      <c r="E100" s="152">
        <v>5</v>
      </c>
      <c r="F100" s="152">
        <v>6</v>
      </c>
      <c r="G100" s="152">
        <v>7</v>
      </c>
      <c r="H100" s="152">
        <v>8</v>
      </c>
      <c r="I100" s="152">
        <v>9</v>
      </c>
      <c r="J100" s="160"/>
      <c r="K100" s="160"/>
      <c r="L100" s="160"/>
      <c r="M100" s="160"/>
      <c r="N100" s="160"/>
      <c r="O100" s="160"/>
      <c r="P100" s="189"/>
      <c r="Q100" s="160"/>
      <c r="R100" s="244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59" t="s">
        <v>90</v>
      </c>
      <c r="AU100" s="160"/>
      <c r="AV100" s="160"/>
      <c r="AW100" s="160"/>
      <c r="AX100" s="160"/>
      <c r="AY100" s="161"/>
      <c r="AZ100" s="163">
        <v>150</v>
      </c>
      <c r="BA100" s="181"/>
      <c r="BB100" s="299">
        <f>AZ100*BB58</f>
        <v>442.27913106278595</v>
      </c>
    </row>
    <row r="101" spans="1:54" ht="12.75" customHeight="1">
      <c r="A101" s="103"/>
      <c r="B101" s="148"/>
      <c r="C101" s="320" t="s">
        <v>287</v>
      </c>
      <c r="D101" s="320"/>
      <c r="E101" s="148"/>
      <c r="F101" s="148"/>
      <c r="G101" s="148"/>
      <c r="H101" s="148"/>
      <c r="I101" s="149"/>
      <c r="J101" s="160"/>
      <c r="K101" s="160"/>
      <c r="L101" s="160"/>
      <c r="M101" s="160"/>
      <c r="N101" s="160"/>
      <c r="O101" s="160"/>
      <c r="P101" s="189"/>
      <c r="Q101" s="160"/>
      <c r="R101" s="244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59" t="s">
        <v>91</v>
      </c>
      <c r="AU101" s="160"/>
      <c r="AV101" s="160"/>
      <c r="AW101" s="160"/>
      <c r="AX101" s="160"/>
      <c r="AY101" s="161"/>
      <c r="AZ101" s="163">
        <v>980</v>
      </c>
      <c r="BA101" s="181"/>
      <c r="BB101" s="299">
        <f>AZ101*BB58</f>
        <v>2889.5569896102015</v>
      </c>
    </row>
    <row r="102" spans="1:54" ht="12.75" customHeight="1">
      <c r="A102" s="96"/>
      <c r="B102" s="102" t="s">
        <v>526</v>
      </c>
      <c r="C102" s="150"/>
      <c r="D102" s="150"/>
      <c r="E102" s="150"/>
      <c r="F102" s="150"/>
      <c r="G102" s="150"/>
      <c r="H102" s="150"/>
      <c r="I102" s="151"/>
      <c r="J102" s="160"/>
      <c r="K102" s="160"/>
      <c r="L102" s="160"/>
      <c r="M102" s="160"/>
      <c r="N102" s="160"/>
      <c r="O102" s="160"/>
      <c r="P102" s="189"/>
      <c r="Q102" s="160"/>
      <c r="R102" s="244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03" t="s">
        <v>41</v>
      </c>
      <c r="AU102" s="148"/>
      <c r="AV102" s="148"/>
      <c r="AW102" s="148"/>
      <c r="AX102" s="148"/>
      <c r="AY102" s="149"/>
      <c r="AZ102" s="164">
        <v>700</v>
      </c>
      <c r="BA102" s="191"/>
      <c r="BB102" s="299">
        <f>AZ102*BB58</f>
        <v>2063.969278293001</v>
      </c>
    </row>
    <row r="103" spans="1:54" ht="12.75" customHeight="1">
      <c r="A103" s="171">
        <v>1</v>
      </c>
      <c r="B103" s="143" t="s">
        <v>249</v>
      </c>
      <c r="C103" s="197">
        <v>804152757</v>
      </c>
      <c r="D103" s="230">
        <v>2271.6043</v>
      </c>
      <c r="E103" s="230">
        <v>2310.1369</v>
      </c>
      <c r="F103" s="155">
        <v>36000</v>
      </c>
      <c r="G103" s="252">
        <f>E103-D103</f>
        <v>38.5326</v>
      </c>
      <c r="H103" s="96"/>
      <c r="I103" s="155">
        <f>F103*G103+H103</f>
        <v>1387173.6</v>
      </c>
      <c r="J103" s="160"/>
      <c r="K103" s="160"/>
      <c r="L103" s="160"/>
      <c r="M103" s="160"/>
      <c r="N103" s="160"/>
      <c r="O103" s="160"/>
      <c r="P103" s="189"/>
      <c r="Q103" s="160"/>
      <c r="R103" s="244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255" t="s">
        <v>303</v>
      </c>
      <c r="AU103" s="146"/>
      <c r="AV103" s="146"/>
      <c r="AW103" s="146"/>
      <c r="AX103" s="146"/>
      <c r="AY103" s="147"/>
      <c r="AZ103" s="300">
        <f>SUM(AZ104:AZ108)</f>
        <v>10890</v>
      </c>
      <c r="BA103" s="202"/>
      <c r="BB103" s="299">
        <f>AZ103*BB58</f>
        <v>32109.46491515826</v>
      </c>
    </row>
    <row r="104" spans="1:54" ht="12.75" customHeight="1">
      <c r="A104" s="144"/>
      <c r="B104" s="103" t="s">
        <v>250</v>
      </c>
      <c r="C104" s="213">
        <v>109054169</v>
      </c>
      <c r="D104" s="230">
        <v>2820.6908</v>
      </c>
      <c r="E104" s="230">
        <v>2865.4031</v>
      </c>
      <c r="F104" s="155">
        <v>36000</v>
      </c>
      <c r="G104" s="252">
        <f>E104-D104</f>
        <v>44.71230000000014</v>
      </c>
      <c r="H104" s="96"/>
      <c r="I104" s="155">
        <f>F104*G104+H104</f>
        <v>1609642.8000000052</v>
      </c>
      <c r="J104" s="160"/>
      <c r="K104" s="160"/>
      <c r="L104" s="188"/>
      <c r="M104" s="188"/>
      <c r="N104" s="160"/>
      <c r="O104" s="160"/>
      <c r="P104" s="189"/>
      <c r="Q104" s="160"/>
      <c r="R104" s="244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59"/>
      <c r="AU104" s="160" t="s">
        <v>389</v>
      </c>
      <c r="AV104" s="160"/>
      <c r="AW104" s="160"/>
      <c r="AX104" s="160"/>
      <c r="AY104" s="161"/>
      <c r="AZ104" s="163">
        <v>1200</v>
      </c>
      <c r="BA104" s="181"/>
      <c r="BB104" s="299">
        <f>AZ104*BB58</f>
        <v>3538.2330485022876</v>
      </c>
    </row>
    <row r="105" spans="1:54" ht="12.75" customHeight="1">
      <c r="A105" s="102"/>
      <c r="B105" s="150"/>
      <c r="C105" s="148"/>
      <c r="D105" s="150"/>
      <c r="E105" s="150"/>
      <c r="F105" s="214" t="s">
        <v>212</v>
      </c>
      <c r="G105" s="150"/>
      <c r="H105" s="151"/>
      <c r="I105" s="155">
        <f>I103+I104</f>
        <v>2996816.400000005</v>
      </c>
      <c r="J105" s="160"/>
      <c r="K105" s="160"/>
      <c r="L105" s="160"/>
      <c r="M105" s="160"/>
      <c r="N105" s="160"/>
      <c r="O105" s="160"/>
      <c r="P105" s="190"/>
      <c r="Q105" s="160"/>
      <c r="R105" s="16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59" t="s">
        <v>385</v>
      </c>
      <c r="AU105" s="160"/>
      <c r="AV105" s="160" t="s">
        <v>304</v>
      </c>
      <c r="AW105" s="160"/>
      <c r="AX105" s="160"/>
      <c r="AY105" s="161"/>
      <c r="AZ105" s="163">
        <v>4480</v>
      </c>
      <c r="BA105" s="181"/>
      <c r="BB105" s="299">
        <f>AZ105*BB58</f>
        <v>13209.403381075206</v>
      </c>
    </row>
    <row r="106" spans="1:54" ht="12.75" customHeight="1">
      <c r="A106" s="96" t="s">
        <v>213</v>
      </c>
      <c r="B106" s="102" t="s">
        <v>214</v>
      </c>
      <c r="C106" s="150"/>
      <c r="D106" s="150"/>
      <c r="E106" s="150"/>
      <c r="F106" s="150"/>
      <c r="G106" s="150"/>
      <c r="H106" s="150"/>
      <c r="I106" s="151"/>
      <c r="J106" s="160"/>
      <c r="K106" s="160"/>
      <c r="L106" s="160"/>
      <c r="M106" s="160"/>
      <c r="N106" s="160"/>
      <c r="O106" s="160"/>
      <c r="P106" s="190"/>
      <c r="Q106" s="160"/>
      <c r="R106" s="16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59" t="s">
        <v>385</v>
      </c>
      <c r="AU106" s="160"/>
      <c r="AV106" s="160" t="s">
        <v>390</v>
      </c>
      <c r="AW106" s="160"/>
      <c r="AX106" s="160"/>
      <c r="AY106" s="161"/>
      <c r="AZ106" s="163">
        <v>0</v>
      </c>
      <c r="BA106" s="181"/>
      <c r="BB106" s="299">
        <f>AZ106*BB58</f>
        <v>0</v>
      </c>
    </row>
    <row r="107" spans="1:54" ht="12.75" customHeight="1">
      <c r="A107" s="96" t="s">
        <v>215</v>
      </c>
      <c r="B107" s="96" t="s">
        <v>216</v>
      </c>
      <c r="C107" s="213">
        <v>109053225</v>
      </c>
      <c r="D107" s="230">
        <v>7445.5402</v>
      </c>
      <c r="E107" s="230">
        <v>7495.5806</v>
      </c>
      <c r="F107" s="155">
        <v>21000</v>
      </c>
      <c r="G107" s="252">
        <f>E107-D107</f>
        <v>50.04039999999986</v>
      </c>
      <c r="H107" s="96"/>
      <c r="I107" s="155">
        <f>F107*G107+H107</f>
        <v>1050848.399999997</v>
      </c>
      <c r="J107" s="160"/>
      <c r="K107" s="160"/>
      <c r="L107" s="160"/>
      <c r="M107" s="160"/>
      <c r="N107" s="160"/>
      <c r="O107" s="160"/>
      <c r="P107" s="190"/>
      <c r="Q107" s="160"/>
      <c r="R107" s="16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60"/>
      <c r="AU107" s="160"/>
      <c r="AV107" s="160" t="s">
        <v>391</v>
      </c>
      <c r="AW107" s="160"/>
      <c r="AX107" s="160"/>
      <c r="AY107" s="160"/>
      <c r="AZ107" s="163">
        <v>80</v>
      </c>
      <c r="BA107" s="168"/>
      <c r="BB107" s="299">
        <f>AZ107*BB58</f>
        <v>235.88220323348582</v>
      </c>
    </row>
    <row r="108" spans="1:54" ht="12.75" customHeight="1">
      <c r="A108" s="96" t="s">
        <v>521</v>
      </c>
      <c r="B108" s="150" t="s">
        <v>524</v>
      </c>
      <c r="C108" s="148"/>
      <c r="D108" s="150"/>
      <c r="E108" s="150"/>
      <c r="F108" s="214"/>
      <c r="G108" s="150"/>
      <c r="H108" s="151"/>
      <c r="I108" s="155"/>
      <c r="J108" s="160"/>
      <c r="K108" s="160"/>
      <c r="L108" s="160"/>
      <c r="M108" s="160"/>
      <c r="N108" s="160"/>
      <c r="O108" s="160"/>
      <c r="P108" s="190"/>
      <c r="Q108" s="160"/>
      <c r="R108" s="16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03" t="s">
        <v>155</v>
      </c>
      <c r="AU108" s="148"/>
      <c r="AV108" s="208"/>
      <c r="AW108" s="208"/>
      <c r="AX108" s="148"/>
      <c r="AY108" s="149"/>
      <c r="AZ108" s="164">
        <v>5130</v>
      </c>
      <c r="BA108" s="191"/>
      <c r="BB108" s="299">
        <f>AZ108*BB58</f>
        <v>15125.946282347279</v>
      </c>
    </row>
    <row r="109" spans="1:54" ht="12.75" customHeight="1">
      <c r="A109" s="96" t="s">
        <v>522</v>
      </c>
      <c r="B109" s="102" t="s">
        <v>525</v>
      </c>
      <c r="C109" s="150"/>
      <c r="D109" s="150"/>
      <c r="E109" s="150"/>
      <c r="F109" s="150"/>
      <c r="G109" s="150"/>
      <c r="H109" s="151"/>
      <c r="I109" s="280"/>
      <c r="J109" s="160"/>
      <c r="K109" s="160"/>
      <c r="L109" s="160"/>
      <c r="M109" s="160"/>
      <c r="N109" s="160"/>
      <c r="O109" s="160"/>
      <c r="P109" s="190"/>
      <c r="Q109" s="160"/>
      <c r="R109" s="244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255" t="s">
        <v>536</v>
      </c>
      <c r="AU109" s="146"/>
      <c r="AV109" s="146"/>
      <c r="AW109" s="146"/>
      <c r="AX109" s="146"/>
      <c r="AY109" s="147"/>
      <c r="AZ109" s="300">
        <f>AZ110+AZ111</f>
        <v>35088</v>
      </c>
      <c r="BA109" s="202"/>
      <c r="BB109" s="299">
        <f>AZ109*BB58</f>
        <v>103457.93433820689</v>
      </c>
    </row>
    <row r="110" spans="1:54" ht="12.75" customHeight="1">
      <c r="A110" s="102" t="s">
        <v>523</v>
      </c>
      <c r="B110" s="102"/>
      <c r="C110" s="371"/>
      <c r="D110" s="372"/>
      <c r="E110" s="372"/>
      <c r="F110" s="373"/>
      <c r="G110" s="374"/>
      <c r="H110" s="151"/>
      <c r="I110" s="280"/>
      <c r="J110" s="160"/>
      <c r="K110" s="160"/>
      <c r="L110" s="160"/>
      <c r="M110" s="160"/>
      <c r="N110" s="160"/>
      <c r="O110" s="160"/>
      <c r="P110" s="190"/>
      <c r="Q110" s="160"/>
      <c r="R110" s="16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59" t="s">
        <v>93</v>
      </c>
      <c r="AU110" s="160"/>
      <c r="AV110" s="160"/>
      <c r="AW110" s="160"/>
      <c r="AX110" s="160"/>
      <c r="AY110" s="161"/>
      <c r="AZ110" s="163">
        <v>5320</v>
      </c>
      <c r="BA110" s="181"/>
      <c r="BB110" s="299">
        <f>AZ110*BB58</f>
        <v>15686.166515026807</v>
      </c>
    </row>
    <row r="111" spans="1:54" ht="12.75" customHeight="1">
      <c r="A111" s="96" t="s">
        <v>219</v>
      </c>
      <c r="B111" s="102" t="s">
        <v>220</v>
      </c>
      <c r="C111" s="150"/>
      <c r="D111" s="150"/>
      <c r="E111" s="150"/>
      <c r="F111" s="150"/>
      <c r="G111" s="150"/>
      <c r="H111" s="150"/>
      <c r="I111" s="151"/>
      <c r="J111" s="160"/>
      <c r="K111" s="160"/>
      <c r="L111" s="160"/>
      <c r="M111" s="160"/>
      <c r="N111" s="160"/>
      <c r="O111" s="160"/>
      <c r="P111" s="160"/>
      <c r="Q111" s="160"/>
      <c r="R111" s="16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03" t="s">
        <v>94</v>
      </c>
      <c r="AU111" s="148"/>
      <c r="AV111" s="148"/>
      <c r="AW111" s="148"/>
      <c r="AX111" s="148"/>
      <c r="AY111" s="149"/>
      <c r="AZ111" s="164">
        <v>29768</v>
      </c>
      <c r="BA111" s="191"/>
      <c r="BB111" s="299">
        <f>AZ111*BB58</f>
        <v>87771.76782318008</v>
      </c>
    </row>
    <row r="112" spans="1:54" ht="12.75" customHeight="1">
      <c r="A112" s="143" t="s">
        <v>221</v>
      </c>
      <c r="B112" s="143" t="s">
        <v>224</v>
      </c>
      <c r="C112" s="197"/>
      <c r="D112" s="171"/>
      <c r="E112" s="171"/>
      <c r="F112" s="175"/>
      <c r="G112" s="171"/>
      <c r="H112" s="171"/>
      <c r="I112" s="171"/>
      <c r="J112" s="160"/>
      <c r="K112" s="160"/>
      <c r="L112" s="160"/>
      <c r="M112" s="160"/>
      <c r="N112" s="160"/>
      <c r="O112" s="160"/>
      <c r="P112" s="160"/>
      <c r="Q112" s="160"/>
      <c r="R112" s="16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273" t="s">
        <v>392</v>
      </c>
      <c r="AU112" s="150"/>
      <c r="AV112" s="150"/>
      <c r="AW112" s="150"/>
      <c r="AX112" s="150"/>
      <c r="AY112" s="151"/>
      <c r="AZ112" s="235">
        <v>8000</v>
      </c>
      <c r="BA112" s="199"/>
      <c r="BB112" s="299">
        <f>AZ112*BB58</f>
        <v>23588.22032334858</v>
      </c>
    </row>
    <row r="113" spans="1:54" ht="12.75" customHeight="1">
      <c r="A113" s="144"/>
      <c r="B113" s="144" t="s">
        <v>222</v>
      </c>
      <c r="C113" s="198">
        <v>109056121</v>
      </c>
      <c r="D113" s="323">
        <v>6477.8772</v>
      </c>
      <c r="E113" s="323">
        <v>6504.1136</v>
      </c>
      <c r="F113" s="164">
        <v>4800</v>
      </c>
      <c r="G113" s="324">
        <f aca="true" t="shared" si="2" ref="G113:G132">E113-D113</f>
        <v>26.236399999999776</v>
      </c>
      <c r="H113" s="164"/>
      <c r="I113" s="164">
        <f>F113*G113+H113</f>
        <v>125934.71999999892</v>
      </c>
      <c r="J113" s="160"/>
      <c r="K113" s="160"/>
      <c r="L113" s="160"/>
      <c r="M113" s="160"/>
      <c r="N113" s="160"/>
      <c r="O113" s="160"/>
      <c r="P113" s="160"/>
      <c r="Q113" s="160"/>
      <c r="R113" s="16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273" t="s">
        <v>154</v>
      </c>
      <c r="AU113" s="150"/>
      <c r="AV113" s="150"/>
      <c r="AW113" s="150"/>
      <c r="AX113" s="150"/>
      <c r="AY113" s="151"/>
      <c r="AZ113" s="235">
        <v>14580</v>
      </c>
      <c r="BA113" s="199"/>
      <c r="BB113" s="299">
        <f>AZ113*BB58</f>
        <v>42989.53153930279</v>
      </c>
    </row>
    <row r="114" spans="1:54" ht="12.75" customHeight="1">
      <c r="A114" s="143" t="s">
        <v>223</v>
      </c>
      <c r="B114" s="143" t="s">
        <v>235</v>
      </c>
      <c r="C114" s="197">
        <v>623125232</v>
      </c>
      <c r="D114" s="325">
        <v>3004.4408</v>
      </c>
      <c r="E114" s="325">
        <v>3004.4408</v>
      </c>
      <c r="F114" s="175">
        <v>1800</v>
      </c>
      <c r="G114" s="326">
        <f t="shared" si="2"/>
        <v>0</v>
      </c>
      <c r="H114" s="171"/>
      <c r="I114" s="175">
        <f>G114*F114</f>
        <v>0</v>
      </c>
      <c r="J114" s="160"/>
      <c r="K114" s="160"/>
      <c r="L114" s="160"/>
      <c r="M114" s="160"/>
      <c r="N114" s="160"/>
      <c r="O114" s="160"/>
      <c r="P114" s="160"/>
      <c r="Q114" s="160"/>
      <c r="R114" s="16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273" t="s">
        <v>362</v>
      </c>
      <c r="AU114" s="150"/>
      <c r="AV114" s="150"/>
      <c r="AW114" s="150"/>
      <c r="AX114" s="150"/>
      <c r="AY114" s="151"/>
      <c r="AZ114" s="235">
        <v>13231</v>
      </c>
      <c r="BA114" s="199"/>
      <c r="BB114" s="299">
        <f>AZ114*BB58</f>
        <v>39011.96788727814</v>
      </c>
    </row>
    <row r="115" spans="1:54" ht="12.75" customHeight="1">
      <c r="A115" s="144"/>
      <c r="B115" s="144" t="s">
        <v>222</v>
      </c>
      <c r="C115" s="169"/>
      <c r="D115" s="228"/>
      <c r="E115" s="228"/>
      <c r="F115" s="164"/>
      <c r="G115" s="227"/>
      <c r="H115" s="169"/>
      <c r="I115" s="164"/>
      <c r="J115" s="160"/>
      <c r="K115" s="160"/>
      <c r="L115" s="160"/>
      <c r="M115" s="160"/>
      <c r="N115" s="160"/>
      <c r="O115" s="160"/>
      <c r="P115" s="160"/>
      <c r="Q115" s="160"/>
      <c r="R115" s="16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273" t="s">
        <v>297</v>
      </c>
      <c r="AU115" s="150"/>
      <c r="AV115" s="150"/>
      <c r="AW115" s="150"/>
      <c r="AX115" s="150"/>
      <c r="AY115" s="151"/>
      <c r="AZ115" s="235">
        <v>2512</v>
      </c>
      <c r="BA115" s="199"/>
      <c r="BB115" s="299">
        <f>AZ115*BB58</f>
        <v>7406.701181531455</v>
      </c>
    </row>
    <row r="116" spans="1:54" ht="12.75" customHeight="1">
      <c r="A116" s="143" t="s">
        <v>225</v>
      </c>
      <c r="B116" s="143" t="s">
        <v>236</v>
      </c>
      <c r="C116" s="197">
        <v>623125667</v>
      </c>
      <c r="D116" s="325">
        <v>3562.268</v>
      </c>
      <c r="E116" s="325">
        <v>3629.7342</v>
      </c>
      <c r="F116" s="175">
        <v>1800</v>
      </c>
      <c r="G116" s="326">
        <f t="shared" si="2"/>
        <v>67.46619999999984</v>
      </c>
      <c r="H116" s="171"/>
      <c r="I116" s="175">
        <f>G116*F116</f>
        <v>121439.15999999971</v>
      </c>
      <c r="J116" s="160"/>
      <c r="K116" s="160"/>
      <c r="L116" s="160"/>
      <c r="M116" s="160"/>
      <c r="N116" s="160"/>
      <c r="O116" s="160"/>
      <c r="P116" s="160"/>
      <c r="Q116" s="160"/>
      <c r="R116" s="16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273" t="s">
        <v>6</v>
      </c>
      <c r="AU116" s="150"/>
      <c r="AV116" s="150"/>
      <c r="AW116" s="150"/>
      <c r="AX116" s="150"/>
      <c r="AY116" s="151"/>
      <c r="AZ116" s="235">
        <v>10000</v>
      </c>
      <c r="BA116" s="199"/>
      <c r="BB116" s="299">
        <f>AZ116*BB58</f>
        <v>29485.27540418573</v>
      </c>
    </row>
    <row r="117" spans="1:54" ht="12.75" customHeight="1">
      <c r="A117" s="144"/>
      <c r="B117" s="144" t="s">
        <v>222</v>
      </c>
      <c r="C117" s="169"/>
      <c r="D117" s="228"/>
      <c r="E117" s="228"/>
      <c r="F117" s="164"/>
      <c r="G117" s="227"/>
      <c r="H117" s="169"/>
      <c r="I117" s="164"/>
      <c r="J117" s="160"/>
      <c r="K117" s="160"/>
      <c r="L117" s="160"/>
      <c r="M117" s="160"/>
      <c r="N117" s="160"/>
      <c r="O117" s="160"/>
      <c r="P117" s="160"/>
      <c r="Q117" s="160"/>
      <c r="R117" s="16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273" t="s">
        <v>21</v>
      </c>
      <c r="AU117" s="214"/>
      <c r="AV117" s="150"/>
      <c r="AW117" s="150"/>
      <c r="AX117" s="150"/>
      <c r="AY117" s="151"/>
      <c r="AZ117" s="235">
        <v>5000</v>
      </c>
      <c r="BA117" s="199"/>
      <c r="BB117" s="299">
        <f>AZ117*BB58</f>
        <v>14742.637702092865</v>
      </c>
    </row>
    <row r="118" spans="1:54" ht="12.75" customHeight="1">
      <c r="A118" s="143" t="s">
        <v>226</v>
      </c>
      <c r="B118" s="143" t="s">
        <v>237</v>
      </c>
      <c r="C118" s="197">
        <v>623126370</v>
      </c>
      <c r="D118" s="325">
        <v>704.8076</v>
      </c>
      <c r="E118" s="325">
        <v>718.6081</v>
      </c>
      <c r="F118" s="175">
        <v>4800</v>
      </c>
      <c r="G118" s="326">
        <f t="shared" si="2"/>
        <v>13.800500000000056</v>
      </c>
      <c r="H118" s="171"/>
      <c r="I118" s="175">
        <f>G118*F118</f>
        <v>66242.40000000027</v>
      </c>
      <c r="J118" s="160"/>
      <c r="K118" s="160"/>
      <c r="L118" s="160"/>
      <c r="M118" s="160"/>
      <c r="N118" s="160"/>
      <c r="O118" s="160"/>
      <c r="P118" s="160"/>
      <c r="Q118" s="160"/>
      <c r="R118" s="16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273" t="s">
        <v>388</v>
      </c>
      <c r="AU118" s="214"/>
      <c r="AV118" s="150"/>
      <c r="AW118" s="150"/>
      <c r="AX118" s="150"/>
      <c r="AY118" s="151"/>
      <c r="AZ118" s="235">
        <v>50</v>
      </c>
      <c r="BA118" s="199"/>
      <c r="BB118" s="299">
        <f>AZ118*BB58</f>
        <v>147.42637702092864</v>
      </c>
    </row>
    <row r="119" spans="1:54" ht="12.75" customHeight="1">
      <c r="A119" s="144"/>
      <c r="B119" s="144" t="s">
        <v>222</v>
      </c>
      <c r="C119" s="169"/>
      <c r="D119" s="228"/>
      <c r="E119" s="228"/>
      <c r="F119" s="164"/>
      <c r="G119" s="227"/>
      <c r="H119" s="169"/>
      <c r="I119" s="164"/>
      <c r="J119" s="160"/>
      <c r="K119" s="160"/>
      <c r="L119" s="160"/>
      <c r="M119" s="160"/>
      <c r="N119" s="160"/>
      <c r="O119" s="160"/>
      <c r="P119" s="160"/>
      <c r="Q119" s="160"/>
      <c r="R119" s="16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273" t="s">
        <v>365</v>
      </c>
      <c r="AU119" s="214"/>
      <c r="AV119" s="150"/>
      <c r="AW119" s="150"/>
      <c r="AX119" s="150"/>
      <c r="AY119" s="151"/>
      <c r="AZ119" s="235">
        <v>23640</v>
      </c>
      <c r="BA119" s="199"/>
      <c r="BB119" s="299">
        <f>AZ119*BB58</f>
        <v>69703.19105549506</v>
      </c>
    </row>
    <row r="120" spans="1:54" ht="12.75" customHeight="1">
      <c r="A120" s="143" t="s">
        <v>227</v>
      </c>
      <c r="B120" s="143" t="s">
        <v>238</v>
      </c>
      <c r="C120" s="197">
        <v>623125137</v>
      </c>
      <c r="D120" s="325">
        <v>695.661</v>
      </c>
      <c r="E120" s="325">
        <v>695.661</v>
      </c>
      <c r="F120" s="175">
        <v>4800</v>
      </c>
      <c r="G120" s="326">
        <f t="shared" si="2"/>
        <v>0</v>
      </c>
      <c r="H120" s="171"/>
      <c r="I120" s="175">
        <f>G120*F120</f>
        <v>0</v>
      </c>
      <c r="J120" s="160"/>
      <c r="K120" s="160"/>
      <c r="L120" s="160"/>
      <c r="M120" s="160"/>
      <c r="N120" s="160"/>
      <c r="O120" s="160"/>
      <c r="P120" s="160"/>
      <c r="Q120" s="160"/>
      <c r="R120" s="16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273"/>
      <c r="AU120" s="214"/>
      <c r="AV120" s="150"/>
      <c r="AW120" s="150"/>
      <c r="AX120" s="150"/>
      <c r="AY120" s="151"/>
      <c r="AZ120" s="235"/>
      <c r="BA120" s="199"/>
      <c r="BB120" s="299"/>
    </row>
    <row r="121" spans="1:54" ht="12.75" customHeight="1">
      <c r="A121" s="144"/>
      <c r="B121" s="144" t="s">
        <v>222</v>
      </c>
      <c r="C121" s="169"/>
      <c r="D121" s="228"/>
      <c r="E121" s="228"/>
      <c r="F121" s="164"/>
      <c r="G121" s="227"/>
      <c r="H121" s="169"/>
      <c r="I121" s="164"/>
      <c r="J121" s="160"/>
      <c r="K121" s="160"/>
      <c r="L121" s="160"/>
      <c r="M121" s="160"/>
      <c r="N121" s="160"/>
      <c r="O121" s="160"/>
      <c r="P121" s="160"/>
      <c r="Q121" s="160"/>
      <c r="R121" s="16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02"/>
      <c r="AU121" s="150"/>
      <c r="AV121" s="150"/>
      <c r="AW121" s="150"/>
      <c r="AX121" s="150"/>
      <c r="AY121" s="151"/>
      <c r="AZ121" s="235"/>
      <c r="BA121" s="199"/>
      <c r="BB121" s="299"/>
    </row>
    <row r="122" spans="1:54" ht="12.75" customHeight="1">
      <c r="A122" s="143" t="s">
        <v>228</v>
      </c>
      <c r="B122" s="143" t="s">
        <v>239</v>
      </c>
      <c r="C122" s="197">
        <v>623125142</v>
      </c>
      <c r="D122" s="325">
        <v>2457.8195</v>
      </c>
      <c r="E122" s="325">
        <v>2487.588</v>
      </c>
      <c r="F122" s="175">
        <v>2400</v>
      </c>
      <c r="G122" s="326">
        <f t="shared" si="2"/>
        <v>29.76850000000013</v>
      </c>
      <c r="H122" s="171"/>
      <c r="I122" s="175">
        <f>G122*F122</f>
        <v>71444.40000000031</v>
      </c>
      <c r="J122" s="160"/>
      <c r="K122" s="160"/>
      <c r="L122" s="160"/>
      <c r="M122" s="160"/>
      <c r="N122" s="160"/>
      <c r="O122" s="160"/>
      <c r="P122" s="160"/>
      <c r="Q122" s="160"/>
      <c r="R122" s="16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02"/>
      <c r="AU122" s="150"/>
      <c r="AV122" s="150"/>
      <c r="AW122" s="150"/>
      <c r="AX122" s="150"/>
      <c r="AY122" s="151"/>
      <c r="AZ122" s="235"/>
      <c r="BA122" s="199"/>
      <c r="BB122" s="299"/>
    </row>
    <row r="123" spans="1:54" ht="12.75" customHeight="1">
      <c r="A123" s="144"/>
      <c r="B123" s="144" t="s">
        <v>222</v>
      </c>
      <c r="C123" s="169"/>
      <c r="D123" s="228"/>
      <c r="E123" s="228"/>
      <c r="F123" s="164"/>
      <c r="G123" s="227"/>
      <c r="H123" s="169"/>
      <c r="I123" s="164"/>
      <c r="J123" s="160"/>
      <c r="K123" s="160"/>
      <c r="L123" s="160"/>
      <c r="M123" s="160"/>
      <c r="N123" s="160"/>
      <c r="O123" s="160"/>
      <c r="P123" s="160"/>
      <c r="Q123" s="160"/>
      <c r="R123" s="16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02"/>
      <c r="AU123" s="150"/>
      <c r="AV123" s="150"/>
      <c r="AW123" s="150"/>
      <c r="AX123" s="150"/>
      <c r="AY123" s="151"/>
      <c r="AZ123" s="235"/>
      <c r="BA123" s="199"/>
      <c r="BB123" s="299"/>
    </row>
    <row r="124" spans="1:54" ht="12.75" customHeight="1">
      <c r="A124" s="143" t="s">
        <v>229</v>
      </c>
      <c r="B124" s="143" t="s">
        <v>240</v>
      </c>
      <c r="C124" s="197">
        <v>623125205</v>
      </c>
      <c r="D124" s="325">
        <v>1896.31</v>
      </c>
      <c r="E124" s="325">
        <v>1938.622</v>
      </c>
      <c r="F124" s="175">
        <v>1800</v>
      </c>
      <c r="G124" s="326">
        <f t="shared" si="2"/>
        <v>42.312000000000126</v>
      </c>
      <c r="H124" s="171"/>
      <c r="I124" s="175">
        <f>G124*F124</f>
        <v>76161.60000000022</v>
      </c>
      <c r="J124" s="160"/>
      <c r="K124" s="160"/>
      <c r="L124" s="160"/>
      <c r="M124" s="160"/>
      <c r="N124" s="160"/>
      <c r="O124" s="160"/>
      <c r="P124" s="160"/>
      <c r="Q124" s="160"/>
      <c r="R124" s="16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02"/>
      <c r="AU124" s="150"/>
      <c r="AV124" s="150"/>
      <c r="AW124" s="150"/>
      <c r="AX124" s="150"/>
      <c r="AY124" s="151"/>
      <c r="AZ124" s="235"/>
      <c r="BA124" s="199"/>
      <c r="BB124" s="299"/>
    </row>
    <row r="125" spans="1:54" ht="12.75" customHeight="1">
      <c r="A125" s="144"/>
      <c r="B125" s="144" t="s">
        <v>222</v>
      </c>
      <c r="C125" s="169"/>
      <c r="D125" s="228"/>
      <c r="E125" s="228"/>
      <c r="F125" s="164"/>
      <c r="G125" s="227"/>
      <c r="H125" s="169"/>
      <c r="I125" s="164"/>
      <c r="J125" s="160"/>
      <c r="K125" s="160"/>
      <c r="L125" s="160"/>
      <c r="M125" s="160"/>
      <c r="N125" s="160"/>
      <c r="O125" s="160"/>
      <c r="P125" s="160"/>
      <c r="Q125" s="160"/>
      <c r="R125" s="16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02"/>
      <c r="AU125" s="150"/>
      <c r="AV125" s="150"/>
      <c r="AW125" s="150"/>
      <c r="AX125" s="150"/>
      <c r="AY125" s="151"/>
      <c r="AZ125" s="235"/>
      <c r="BA125" s="199"/>
      <c r="BB125" s="299"/>
    </row>
    <row r="126" spans="1:54" ht="12.75" customHeight="1">
      <c r="A126" s="143" t="s">
        <v>230</v>
      </c>
      <c r="B126" s="143" t="s">
        <v>241</v>
      </c>
      <c r="C126" s="197">
        <v>623123704</v>
      </c>
      <c r="D126" s="325">
        <v>2344.0971</v>
      </c>
      <c r="E126" s="325">
        <v>2387.9122</v>
      </c>
      <c r="F126" s="175">
        <v>1800</v>
      </c>
      <c r="G126" s="326">
        <f t="shared" si="2"/>
        <v>43.81510000000026</v>
      </c>
      <c r="H126" s="171"/>
      <c r="I126" s="175">
        <f>G126*F126</f>
        <v>78867.18000000046</v>
      </c>
      <c r="J126" s="160"/>
      <c r="K126" s="160"/>
      <c r="L126" s="160"/>
      <c r="M126" s="160"/>
      <c r="N126" s="160"/>
      <c r="O126" s="160"/>
      <c r="P126" s="160"/>
      <c r="Q126" s="160"/>
      <c r="R126" s="16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02"/>
      <c r="AU126" s="150"/>
      <c r="AV126" s="219"/>
      <c r="AW126" s="219"/>
      <c r="AX126" s="150"/>
      <c r="AY126" s="151"/>
      <c r="AZ126" s="235"/>
      <c r="BA126" s="199"/>
      <c r="BB126" s="299"/>
    </row>
    <row r="127" spans="1:54" ht="12.75" customHeight="1">
      <c r="A127" s="144"/>
      <c r="B127" s="144" t="s">
        <v>222</v>
      </c>
      <c r="C127" s="169"/>
      <c r="D127" s="228"/>
      <c r="E127" s="228"/>
      <c r="F127" s="164"/>
      <c r="G127" s="227"/>
      <c r="H127" s="169"/>
      <c r="I127" s="164"/>
      <c r="J127" s="160"/>
      <c r="K127" s="160"/>
      <c r="L127" s="160"/>
      <c r="M127" s="160"/>
      <c r="N127" s="160"/>
      <c r="O127" s="160"/>
      <c r="P127" s="160"/>
      <c r="Q127" s="160"/>
      <c r="R127" s="16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60"/>
      <c r="AU127" s="120"/>
      <c r="AV127" s="120"/>
      <c r="AW127" s="120"/>
      <c r="AX127" s="120"/>
      <c r="AY127" s="120"/>
      <c r="AZ127" s="274"/>
      <c r="BA127" s="120"/>
      <c r="BB127" s="120"/>
    </row>
    <row r="128" spans="1:54" ht="12.75" customHeight="1">
      <c r="A128" s="143" t="s">
        <v>231</v>
      </c>
      <c r="B128" s="143" t="s">
        <v>242</v>
      </c>
      <c r="C128" s="197">
        <v>623125794</v>
      </c>
      <c r="D128" s="325">
        <v>81.3745</v>
      </c>
      <c r="E128" s="325">
        <v>94.254</v>
      </c>
      <c r="F128" s="175">
        <v>1800</v>
      </c>
      <c r="G128" s="326">
        <f>E128-D128</f>
        <v>12.879500000000007</v>
      </c>
      <c r="H128" s="171"/>
      <c r="I128" s="175">
        <f>G128*F128</f>
        <v>23183.100000000013</v>
      </c>
      <c r="J128" s="160"/>
      <c r="K128" s="160"/>
      <c r="L128" s="160"/>
      <c r="M128" s="160"/>
      <c r="N128" s="160"/>
      <c r="O128" s="160"/>
      <c r="P128" s="160"/>
      <c r="Q128" s="160"/>
      <c r="R128" s="16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60"/>
      <c r="AU128" s="120"/>
      <c r="AV128" s="120"/>
      <c r="AW128" s="120"/>
      <c r="AX128" s="120"/>
      <c r="AY128" s="120"/>
      <c r="AZ128" s="274"/>
      <c r="BA128" s="120"/>
      <c r="BB128" s="120"/>
    </row>
    <row r="129" spans="1:54" ht="12.75" customHeight="1">
      <c r="A129" s="144"/>
      <c r="B129" s="144" t="s">
        <v>222</v>
      </c>
      <c r="C129" s="169"/>
      <c r="D129" s="228"/>
      <c r="E129" s="228"/>
      <c r="F129" s="164"/>
      <c r="G129" s="227"/>
      <c r="H129" s="169"/>
      <c r="I129" s="164"/>
      <c r="J129" s="160"/>
      <c r="K129" s="160"/>
      <c r="L129" s="160"/>
      <c r="M129" s="160"/>
      <c r="N129" s="160"/>
      <c r="O129" s="160"/>
      <c r="P129" s="160"/>
      <c r="Q129" s="160"/>
      <c r="R129" s="16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60"/>
      <c r="AU129" s="120"/>
      <c r="AV129" s="120"/>
      <c r="AW129" s="120"/>
      <c r="AX129" s="120"/>
      <c r="AY129" s="120"/>
      <c r="AZ129" s="274"/>
      <c r="BA129" s="120"/>
      <c r="BB129" s="120"/>
    </row>
    <row r="130" spans="1:54" ht="12.75" customHeight="1">
      <c r="A130" s="143" t="s">
        <v>232</v>
      </c>
      <c r="B130" s="143" t="s">
        <v>243</v>
      </c>
      <c r="C130" s="197">
        <v>623125736</v>
      </c>
      <c r="D130" s="325">
        <v>2921.1182</v>
      </c>
      <c r="E130" s="325">
        <v>2948.804</v>
      </c>
      <c r="F130" s="175">
        <v>1200</v>
      </c>
      <c r="G130" s="326">
        <f t="shared" si="2"/>
        <v>27.6858000000002</v>
      </c>
      <c r="H130" s="171"/>
      <c r="I130" s="175">
        <f>G130*F130</f>
        <v>33222.96000000024</v>
      </c>
      <c r="J130" s="160"/>
      <c r="K130" s="160"/>
      <c r="L130" s="160"/>
      <c r="M130" s="160"/>
      <c r="N130" s="160"/>
      <c r="O130" s="160"/>
      <c r="P130" s="160"/>
      <c r="Q130" s="160"/>
      <c r="R130" s="16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60"/>
      <c r="AU130" s="120"/>
      <c r="AV130" s="120"/>
      <c r="AW130" s="120"/>
      <c r="AX130" s="120"/>
      <c r="AY130" s="120"/>
      <c r="AZ130" s="274"/>
      <c r="BA130" s="120"/>
      <c r="BB130" s="120"/>
    </row>
    <row r="131" spans="1:54" ht="12.75" customHeight="1">
      <c r="A131" s="144"/>
      <c r="B131" s="144" t="s">
        <v>222</v>
      </c>
      <c r="C131" s="168"/>
      <c r="D131" s="228"/>
      <c r="E131" s="228"/>
      <c r="F131" s="164"/>
      <c r="G131" s="227"/>
      <c r="H131" s="169"/>
      <c r="I131" s="164"/>
      <c r="J131" s="160"/>
      <c r="K131" s="160"/>
      <c r="L131" s="160"/>
      <c r="M131" s="160"/>
      <c r="N131" s="160"/>
      <c r="O131" s="160"/>
      <c r="P131" s="160"/>
      <c r="Q131" s="160"/>
      <c r="R131" s="16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60"/>
      <c r="AU131" s="120" t="s">
        <v>9</v>
      </c>
      <c r="AV131" s="120"/>
      <c r="AW131" s="120"/>
      <c r="AX131" s="120"/>
      <c r="AY131" s="120"/>
      <c r="AZ131" s="301">
        <f>AZ9</f>
        <v>4057788</v>
      </c>
      <c r="BA131" s="120"/>
      <c r="BB131" s="275">
        <f>SUM(BB93:BB96)+BB103+BB109+SUM(BB112:BB126)</f>
        <v>11964499.67118</v>
      </c>
    </row>
    <row r="132" spans="1:54" ht="12.75" customHeight="1">
      <c r="A132" s="143" t="s">
        <v>233</v>
      </c>
      <c r="B132" s="145" t="s">
        <v>234</v>
      </c>
      <c r="C132" s="197">
        <v>1110171156</v>
      </c>
      <c r="D132" s="325">
        <v>1303.7388</v>
      </c>
      <c r="E132" s="325">
        <v>1379.6656</v>
      </c>
      <c r="F132" s="175">
        <v>40</v>
      </c>
      <c r="G132" s="326">
        <f t="shared" si="2"/>
        <v>75.92679999999996</v>
      </c>
      <c r="H132" s="171"/>
      <c r="I132" s="175">
        <f>G132*F132</f>
        <v>3037.0719999999983</v>
      </c>
      <c r="J132" s="160"/>
      <c r="K132" s="160"/>
      <c r="L132" s="160"/>
      <c r="M132" s="160"/>
      <c r="N132" s="160"/>
      <c r="O132" s="160"/>
      <c r="P132" s="160"/>
      <c r="Q132" s="160"/>
      <c r="R132" s="16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60"/>
      <c r="AU132" s="120"/>
      <c r="AV132" s="120"/>
      <c r="AW132" s="120"/>
      <c r="AX132" s="120"/>
      <c r="AY132" s="120"/>
      <c r="AZ132" s="274"/>
      <c r="BA132" s="120"/>
      <c r="BB132" s="120"/>
    </row>
    <row r="133" spans="1:54" ht="12.75" customHeight="1">
      <c r="A133" s="144"/>
      <c r="B133" s="103" t="s">
        <v>222</v>
      </c>
      <c r="C133" s="169"/>
      <c r="D133" s="379"/>
      <c r="E133" s="228"/>
      <c r="F133" s="164"/>
      <c r="G133" s="229"/>
      <c r="H133" s="169"/>
      <c r="I133" s="164"/>
      <c r="J133" s="160"/>
      <c r="K133" s="160"/>
      <c r="L133" s="160"/>
      <c r="M133" s="160"/>
      <c r="N133" s="160"/>
      <c r="O133" s="160"/>
      <c r="P133" s="160"/>
      <c r="Q133" s="160"/>
      <c r="R133" s="16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60"/>
      <c r="AU133" s="120"/>
      <c r="AV133" s="120"/>
      <c r="AW133" s="120"/>
      <c r="AX133" s="120"/>
      <c r="AY133" s="120"/>
      <c r="AZ133" s="120"/>
      <c r="BA133" s="120"/>
      <c r="BB133" s="120"/>
    </row>
    <row r="134" spans="1:54" ht="12.75" customHeight="1">
      <c r="A134" s="201"/>
      <c r="B134" s="150"/>
      <c r="C134" s="191"/>
      <c r="D134" s="199"/>
      <c r="E134" s="200"/>
      <c r="F134" s="200"/>
      <c r="G134" s="215" t="s">
        <v>244</v>
      </c>
      <c r="H134" s="151"/>
      <c r="I134" s="235">
        <f>SUM(I112:I133)+I107</f>
        <v>1650380.9919999973</v>
      </c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60" t="s">
        <v>588</v>
      </c>
      <c r="AU134" s="120"/>
      <c r="AV134" s="120"/>
      <c r="AW134" s="120"/>
      <c r="AX134" s="120"/>
      <c r="AY134" s="120"/>
      <c r="AZ134" s="120"/>
      <c r="BA134" s="120"/>
      <c r="BB134" s="120"/>
    </row>
    <row r="135" spans="1:54" ht="12.75" customHeight="1">
      <c r="A135" s="143" t="s">
        <v>247</v>
      </c>
      <c r="B135" s="145" t="s">
        <v>245</v>
      </c>
      <c r="C135" s="202"/>
      <c r="D135" s="202"/>
      <c r="E135" s="203"/>
      <c r="F135" s="203"/>
      <c r="G135" s="204"/>
      <c r="H135" s="146"/>
      <c r="I135" s="205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60"/>
      <c r="AU135" s="120"/>
      <c r="AV135" s="120"/>
      <c r="AW135" s="120"/>
      <c r="AX135" s="120"/>
      <c r="AY135" s="120"/>
      <c r="AZ135" s="120"/>
      <c r="BA135" s="120"/>
      <c r="BB135" s="120"/>
    </row>
    <row r="136" spans="1:54" ht="12.75" customHeight="1">
      <c r="A136" s="173"/>
      <c r="B136" s="159" t="s">
        <v>246</v>
      </c>
      <c r="C136" s="206"/>
      <c r="D136" s="191"/>
      <c r="E136" s="207"/>
      <c r="F136" s="207"/>
      <c r="G136" s="208"/>
      <c r="H136" s="148"/>
      <c r="I136" s="209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60" t="s">
        <v>143</v>
      </c>
      <c r="AU136" s="120"/>
      <c r="AV136" s="120"/>
      <c r="AW136" s="120"/>
      <c r="AX136" s="120"/>
      <c r="AY136" s="120"/>
      <c r="AZ136" s="120"/>
      <c r="BA136" s="120"/>
      <c r="BB136" s="120"/>
    </row>
    <row r="137" spans="1:54" ht="12.75" customHeight="1">
      <c r="A137" s="145" t="s">
        <v>248</v>
      </c>
      <c r="B137" s="143" t="s">
        <v>489</v>
      </c>
      <c r="C137" s="304"/>
      <c r="D137" s="211"/>
      <c r="E137" s="211"/>
      <c r="F137" s="155"/>
      <c r="G137" s="212"/>
      <c r="H137" s="152"/>
      <c r="I137" s="155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60"/>
      <c r="AU137" s="120"/>
      <c r="AV137" s="120"/>
      <c r="AW137" s="120"/>
      <c r="AX137" s="120"/>
      <c r="AY137" s="120"/>
      <c r="AZ137" s="120"/>
      <c r="BA137" s="120"/>
      <c r="BB137" s="120"/>
    </row>
    <row r="138" spans="1:54" ht="12.75" customHeight="1">
      <c r="A138" s="159"/>
      <c r="B138" s="173"/>
      <c r="C138" s="305">
        <v>611127627</v>
      </c>
      <c r="D138" s="302">
        <v>2438.8044</v>
      </c>
      <c r="E138" s="302">
        <v>2487.7344</v>
      </c>
      <c r="F138" s="155">
        <v>40</v>
      </c>
      <c r="G138" s="252">
        <f>E138-D138</f>
        <v>48.929999999999836</v>
      </c>
      <c r="H138" s="155"/>
      <c r="I138" s="155">
        <f>ROUND(F138*G138+H138,0)</f>
        <v>1957</v>
      </c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60"/>
      <c r="AU138" s="120"/>
      <c r="AV138" s="120"/>
      <c r="AW138" s="120"/>
      <c r="AX138" s="120"/>
      <c r="AY138" s="120"/>
      <c r="AZ138" s="120"/>
      <c r="BA138" s="120"/>
      <c r="BB138" s="120"/>
    </row>
    <row r="139" spans="1:54" ht="12.75" customHeight="1">
      <c r="A139" s="159"/>
      <c r="B139" s="144" t="s">
        <v>467</v>
      </c>
      <c r="C139" s="305"/>
      <c r="D139" s="306"/>
      <c r="E139" s="306"/>
      <c r="F139" s="155"/>
      <c r="G139" s="212"/>
      <c r="H139" s="155"/>
      <c r="I139" s="155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</row>
    <row r="140" spans="1:54" ht="12.75" customHeight="1">
      <c r="A140" s="143" t="s">
        <v>251</v>
      </c>
      <c r="B140" s="161"/>
      <c r="C140" s="213">
        <v>810120245</v>
      </c>
      <c r="D140" s="302">
        <v>1337.4575</v>
      </c>
      <c r="E140" s="302">
        <v>1340.6091</v>
      </c>
      <c r="F140" s="155">
        <v>3600</v>
      </c>
      <c r="G140" s="252">
        <f aca="true" t="shared" si="3" ref="G140:G145">E140-D140</f>
        <v>3.1515999999999167</v>
      </c>
      <c r="H140" s="155"/>
      <c r="I140" s="155">
        <f aca="true" t="shared" si="4" ref="I140:I145">ROUND(F140*G140+H140,0)</f>
        <v>11346</v>
      </c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</row>
    <row r="141" spans="1:54" ht="12.75" customHeight="1">
      <c r="A141" s="173"/>
      <c r="B141" s="161" t="s">
        <v>495</v>
      </c>
      <c r="C141" s="213"/>
      <c r="D141" s="302"/>
      <c r="E141" s="302"/>
      <c r="F141" s="155"/>
      <c r="G141" s="252"/>
      <c r="H141" s="96"/>
      <c r="I141" s="155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</row>
    <row r="142" spans="1:54" ht="12.75" customHeight="1">
      <c r="A142" s="173"/>
      <c r="B142" s="161"/>
      <c r="C142" s="210">
        <v>4050284</v>
      </c>
      <c r="D142" s="230">
        <v>4223.099</v>
      </c>
      <c r="E142" s="230">
        <v>4243.9283</v>
      </c>
      <c r="F142" s="155">
        <v>3600</v>
      </c>
      <c r="G142" s="253">
        <f t="shared" si="3"/>
        <v>20.82929999999942</v>
      </c>
      <c r="H142" s="96"/>
      <c r="I142" s="155">
        <f t="shared" si="4"/>
        <v>74985</v>
      </c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</row>
    <row r="143" spans="1:54" ht="12.75" customHeight="1">
      <c r="A143" s="144"/>
      <c r="B143" s="149"/>
      <c r="C143" s="210"/>
      <c r="D143" s="230"/>
      <c r="E143" s="230"/>
      <c r="F143" s="155"/>
      <c r="G143" s="253"/>
      <c r="H143" s="96"/>
      <c r="I143" s="155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</row>
    <row r="144" spans="1:54" ht="12.75" customHeight="1">
      <c r="A144" s="173" t="s">
        <v>252</v>
      </c>
      <c r="B144" s="143" t="s">
        <v>218</v>
      </c>
      <c r="C144" s="152"/>
      <c r="D144" s="211"/>
      <c r="E144" s="211"/>
      <c r="F144" s="155"/>
      <c r="G144" s="212"/>
      <c r="H144" s="96"/>
      <c r="I144" s="155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</row>
    <row r="145" spans="1:54" ht="12.75" customHeight="1">
      <c r="A145" s="307"/>
      <c r="B145" s="173" t="s">
        <v>217</v>
      </c>
      <c r="C145" s="305">
        <v>611127492</v>
      </c>
      <c r="D145" s="302">
        <v>5829.732</v>
      </c>
      <c r="E145" s="302">
        <v>5881.7884</v>
      </c>
      <c r="F145" s="155">
        <v>20</v>
      </c>
      <c r="G145" s="252">
        <f t="shared" si="3"/>
        <v>52.056400000000394</v>
      </c>
      <c r="H145" s="155"/>
      <c r="I145" s="155">
        <f t="shared" si="4"/>
        <v>1041</v>
      </c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</row>
    <row r="146" spans="1:54" ht="12.75" customHeight="1">
      <c r="A146" s="145" t="s">
        <v>253</v>
      </c>
      <c r="B146" s="143" t="s">
        <v>490</v>
      </c>
      <c r="C146" s="309"/>
      <c r="D146" s="211"/>
      <c r="E146" s="211"/>
      <c r="F146" s="155"/>
      <c r="G146" s="212"/>
      <c r="H146" s="96"/>
      <c r="I146" s="155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</row>
    <row r="147" spans="1:54" ht="12.75" customHeight="1">
      <c r="A147" s="308"/>
      <c r="B147" s="168" t="s">
        <v>546</v>
      </c>
      <c r="C147" s="305">
        <v>611127702</v>
      </c>
      <c r="D147" s="302">
        <v>6918.522</v>
      </c>
      <c r="E147" s="302">
        <v>6951.4388</v>
      </c>
      <c r="F147" s="155">
        <v>60</v>
      </c>
      <c r="G147" s="252">
        <f>E147-D147</f>
        <v>32.91679999999997</v>
      </c>
      <c r="H147" s="96"/>
      <c r="I147" s="155">
        <f>ROUND(F147*G147+H147,0)</f>
        <v>1975</v>
      </c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</row>
    <row r="148" spans="1:54" ht="12.75" customHeight="1">
      <c r="A148" s="159"/>
      <c r="B148" s="168" t="s">
        <v>547</v>
      </c>
      <c r="C148" s="305">
        <v>611127555</v>
      </c>
      <c r="D148" s="302">
        <v>1648.7128</v>
      </c>
      <c r="E148" s="302">
        <v>1772.9228</v>
      </c>
      <c r="F148" s="155">
        <v>60</v>
      </c>
      <c r="G148" s="252">
        <f>E148-D148</f>
        <v>124.21000000000004</v>
      </c>
      <c r="H148" s="96"/>
      <c r="I148" s="155">
        <f>ROUND(F148*G148+H148,0)</f>
        <v>7453</v>
      </c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</row>
    <row r="149" spans="1:54" ht="12.75" customHeight="1">
      <c r="A149" s="145" t="s">
        <v>258</v>
      </c>
      <c r="B149" s="143" t="s">
        <v>491</v>
      </c>
      <c r="C149" s="310"/>
      <c r="D149" s="232"/>
      <c r="E149" s="232"/>
      <c r="F149" s="155"/>
      <c r="G149" s="212"/>
      <c r="H149" s="96"/>
      <c r="I149" s="155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</row>
    <row r="150" spans="1:54" ht="12.75" customHeight="1">
      <c r="A150" s="308"/>
      <c r="B150" s="173"/>
      <c r="C150" s="305">
        <v>1110171163</v>
      </c>
      <c r="D150" s="230">
        <v>459.6324</v>
      </c>
      <c r="E150" s="230">
        <v>489.3704</v>
      </c>
      <c r="F150" s="155">
        <v>60</v>
      </c>
      <c r="G150" s="252">
        <f>E150-D150</f>
        <v>29.738</v>
      </c>
      <c r="H150" s="96"/>
      <c r="I150" s="155">
        <f>ROUND(F150*G150+H150,0)</f>
        <v>1784</v>
      </c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</row>
    <row r="151" spans="1:54" ht="12.75" customHeight="1">
      <c r="A151" s="159"/>
      <c r="B151" s="173"/>
      <c r="C151" s="305"/>
      <c r="D151" s="211"/>
      <c r="E151" s="211"/>
      <c r="F151" s="155"/>
      <c r="G151" s="212"/>
      <c r="H151" s="96"/>
      <c r="I151" s="155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</row>
    <row r="152" spans="1:54" ht="12.75" customHeight="1">
      <c r="A152" s="145" t="s">
        <v>260</v>
      </c>
      <c r="B152" s="143" t="s">
        <v>492</v>
      </c>
      <c r="C152" s="311"/>
      <c r="D152" s="232"/>
      <c r="E152" s="232"/>
      <c r="F152" s="155"/>
      <c r="G152" s="212"/>
      <c r="H152" s="96"/>
      <c r="I152" s="155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</row>
    <row r="153" spans="1:54" ht="12.75" customHeight="1">
      <c r="A153" s="159"/>
      <c r="B153" s="173"/>
      <c r="C153" s="305">
        <v>1110171170</v>
      </c>
      <c r="D153" s="302">
        <v>182.0048</v>
      </c>
      <c r="E153" s="302">
        <v>189.9672</v>
      </c>
      <c r="F153" s="155">
        <v>40</v>
      </c>
      <c r="G153" s="252">
        <f>E153-D153</f>
        <v>7.962400000000002</v>
      </c>
      <c r="H153" s="155"/>
      <c r="I153" s="155">
        <f>ROUND(F153*G153+H153,0)</f>
        <v>318</v>
      </c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</row>
    <row r="154" spans="1:54" ht="12.75" customHeight="1">
      <c r="A154" s="159"/>
      <c r="B154" s="173"/>
      <c r="C154" s="305"/>
      <c r="D154" s="306"/>
      <c r="E154" s="306"/>
      <c r="F154" s="155"/>
      <c r="G154" s="212"/>
      <c r="H154" s="155"/>
      <c r="I154" s="155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</row>
    <row r="155" spans="1:54" ht="12.75" customHeight="1">
      <c r="A155" s="143" t="s">
        <v>261</v>
      </c>
      <c r="B155" s="147" t="s">
        <v>541</v>
      </c>
      <c r="C155" s="305">
        <v>611126342</v>
      </c>
      <c r="D155" s="302">
        <v>6059.7548</v>
      </c>
      <c r="E155" s="302">
        <v>6059.7548</v>
      </c>
      <c r="F155" s="155">
        <v>1800</v>
      </c>
      <c r="G155" s="252">
        <f>E155-D155</f>
        <v>0</v>
      </c>
      <c r="H155" s="155"/>
      <c r="I155" s="155">
        <f>ROUND(F155*G155+H155,0)</f>
        <v>0</v>
      </c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</row>
    <row r="156" spans="1:54" ht="12.75" customHeight="1">
      <c r="A156" s="173"/>
      <c r="B156" s="161" t="s">
        <v>469</v>
      </c>
      <c r="C156" s="305">
        <v>611126404</v>
      </c>
      <c r="D156" s="302">
        <v>863.039</v>
      </c>
      <c r="E156" s="302">
        <v>872.2902</v>
      </c>
      <c r="F156" s="155">
        <v>1800</v>
      </c>
      <c r="G156" s="252">
        <f>E156-D156</f>
        <v>9.25120000000004</v>
      </c>
      <c r="H156" s="155"/>
      <c r="I156" s="155">
        <f>ROUND(F156*G156+H156,0)</f>
        <v>16652</v>
      </c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</row>
    <row r="157" spans="1:54" ht="12.75" customHeight="1">
      <c r="A157" s="144"/>
      <c r="B157" s="149" t="s">
        <v>509</v>
      </c>
      <c r="C157" s="305">
        <v>611126334</v>
      </c>
      <c r="D157" s="302">
        <v>0.1356</v>
      </c>
      <c r="E157" s="302">
        <v>0.1356</v>
      </c>
      <c r="F157" s="155">
        <v>1800</v>
      </c>
      <c r="G157" s="252">
        <f>E157-D157</f>
        <v>0</v>
      </c>
      <c r="H157" s="96"/>
      <c r="I157" s="155">
        <f>ROUND(F157*G157+H157,0)</f>
        <v>0</v>
      </c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</row>
    <row r="158" spans="1:54" ht="12.75" customHeight="1">
      <c r="A158" s="159" t="s">
        <v>477</v>
      </c>
      <c r="B158" s="143" t="s">
        <v>493</v>
      </c>
      <c r="C158" s="305">
        <v>611127724</v>
      </c>
      <c r="D158" s="302">
        <v>642.9628</v>
      </c>
      <c r="E158" s="302">
        <v>649.154</v>
      </c>
      <c r="F158" s="155">
        <v>30</v>
      </c>
      <c r="G158" s="252">
        <f>E158-D158</f>
        <v>6.191199999999981</v>
      </c>
      <c r="H158" s="155"/>
      <c r="I158" s="155">
        <f>ROUND(F158*G158+H158,0)</f>
        <v>186</v>
      </c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</row>
    <row r="159" spans="1:54" ht="12.75" customHeight="1">
      <c r="A159" s="103"/>
      <c r="B159" s="173" t="s">
        <v>540</v>
      </c>
      <c r="C159" s="305"/>
      <c r="D159" s="306"/>
      <c r="E159" s="306"/>
      <c r="F159" s="155"/>
      <c r="G159" s="212"/>
      <c r="H159" s="155"/>
      <c r="I159" s="155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</row>
    <row r="160" spans="1:54" ht="12.75" customHeight="1">
      <c r="A160" s="96"/>
      <c r="B160" s="312"/>
      <c r="C160" s="171"/>
      <c r="D160" s="306"/>
      <c r="E160" s="306"/>
      <c r="F160" s="155"/>
      <c r="G160" s="212"/>
      <c r="H160" s="155"/>
      <c r="I160" s="155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</row>
    <row r="161" spans="1:54" ht="12.75">
      <c r="A161" s="103"/>
      <c r="B161" s="148"/>
      <c r="C161" s="150"/>
      <c r="D161" s="150"/>
      <c r="E161" s="150"/>
      <c r="F161" s="150" t="s">
        <v>264</v>
      </c>
      <c r="G161" s="150"/>
      <c r="H161" s="151"/>
      <c r="I161" s="235">
        <f>SUM(I137:I159)-I160</f>
        <v>117697</v>
      </c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</row>
    <row r="162" spans="1:54" ht="12.75">
      <c r="A162" s="102"/>
      <c r="B162" s="150"/>
      <c r="C162" s="150"/>
      <c r="D162" s="150"/>
      <c r="E162" s="150"/>
      <c r="F162" s="150"/>
      <c r="G162" s="150" t="s">
        <v>265</v>
      </c>
      <c r="H162" s="151"/>
      <c r="I162" s="235">
        <f>I103+I104+I107+I108+I109+I110-I134-I161</f>
        <v>2279586.808000005</v>
      </c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</row>
    <row r="163" spans="1:54" ht="12.75">
      <c r="A163" s="96" t="s">
        <v>272</v>
      </c>
      <c r="B163" s="102" t="s">
        <v>266</v>
      </c>
      <c r="C163" s="150"/>
      <c r="D163" s="150"/>
      <c r="E163" s="150"/>
      <c r="F163" s="150"/>
      <c r="G163" s="150"/>
      <c r="H163" s="150"/>
      <c r="I163" s="151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</row>
    <row r="164" spans="1:54" ht="12.75">
      <c r="A164" s="143" t="s">
        <v>270</v>
      </c>
      <c r="B164" s="143" t="s">
        <v>267</v>
      </c>
      <c r="C164" s="171">
        <v>18705639</v>
      </c>
      <c r="D164" s="321">
        <v>38</v>
      </c>
      <c r="E164" s="321">
        <v>38</v>
      </c>
      <c r="F164" s="175">
        <v>30</v>
      </c>
      <c r="G164" s="322">
        <f>E164-D164</f>
        <v>0</v>
      </c>
      <c r="H164" s="143"/>
      <c r="I164" s="175">
        <f>F164*G164+H164</f>
        <v>0</v>
      </c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</row>
    <row r="165" spans="1:54" ht="12.75">
      <c r="A165" s="144"/>
      <c r="B165" s="144" t="s">
        <v>268</v>
      </c>
      <c r="C165" s="169"/>
      <c r="D165" s="144"/>
      <c r="E165" s="144"/>
      <c r="F165" s="164"/>
      <c r="G165" s="144"/>
      <c r="H165" s="144"/>
      <c r="I165" s="144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</row>
    <row r="166" spans="1:54" ht="12.75">
      <c r="A166" s="143" t="s">
        <v>271</v>
      </c>
      <c r="B166" s="143" t="s">
        <v>269</v>
      </c>
      <c r="C166" s="171">
        <v>18705843</v>
      </c>
      <c r="D166" s="321">
        <v>204.4</v>
      </c>
      <c r="E166" s="321">
        <v>204.4</v>
      </c>
      <c r="F166" s="175">
        <v>30</v>
      </c>
      <c r="G166" s="233">
        <f>E166-D166</f>
        <v>0</v>
      </c>
      <c r="H166" s="143"/>
      <c r="I166" s="175">
        <f>F166*G166+H166</f>
        <v>0</v>
      </c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</row>
    <row r="167" spans="1:54" ht="12.75">
      <c r="A167" s="144"/>
      <c r="B167" s="144" t="s">
        <v>268</v>
      </c>
      <c r="C167" s="169"/>
      <c r="D167" s="144"/>
      <c r="E167" s="144"/>
      <c r="F167" s="164"/>
      <c r="G167" s="144"/>
      <c r="H167" s="144"/>
      <c r="I167" s="144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</row>
    <row r="168" spans="1:54" ht="12.75">
      <c r="A168" s="102"/>
      <c r="B168" s="150"/>
      <c r="C168" s="217"/>
      <c r="D168" s="199"/>
      <c r="E168" s="218"/>
      <c r="F168" s="218" t="s">
        <v>273</v>
      </c>
      <c r="G168" s="219"/>
      <c r="H168" s="151"/>
      <c r="I168" s="155">
        <f>I164+I166</f>
        <v>0</v>
      </c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</row>
    <row r="169" spans="1:54" ht="12.75">
      <c r="A169" s="102"/>
      <c r="B169" s="150"/>
      <c r="C169" s="217"/>
      <c r="D169" s="199"/>
      <c r="E169" s="218"/>
      <c r="F169" s="218"/>
      <c r="G169" s="219" t="s">
        <v>274</v>
      </c>
      <c r="H169" s="151"/>
      <c r="I169" s="235">
        <f>I162+I168</f>
        <v>2279586.808000005</v>
      </c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</row>
    <row r="170" spans="1:54" ht="12.75">
      <c r="A170" s="145" t="s">
        <v>275</v>
      </c>
      <c r="B170" s="146"/>
      <c r="C170" s="220"/>
      <c r="D170" s="202"/>
      <c r="E170" s="221"/>
      <c r="F170" s="221"/>
      <c r="G170" s="204"/>
      <c r="H170" s="146"/>
      <c r="I170" s="205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</row>
    <row r="171" spans="1:54" ht="12.75">
      <c r="A171" s="222" t="s">
        <v>538</v>
      </c>
      <c r="B171" s="223"/>
      <c r="C171" s="223"/>
      <c r="D171" s="191"/>
      <c r="E171" s="148"/>
      <c r="F171" s="148"/>
      <c r="G171" s="148"/>
      <c r="H171" s="148"/>
      <c r="I171" s="209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</row>
    <row r="172" spans="1:54" ht="12.75">
      <c r="A172" s="160" t="s">
        <v>279</v>
      </c>
      <c r="B172" s="160"/>
      <c r="C172" s="264"/>
      <c r="D172" s="181"/>
      <c r="E172" s="265"/>
      <c r="F172" s="265"/>
      <c r="G172" s="188"/>
      <c r="H172" s="160"/>
      <c r="I172" s="19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</row>
    <row r="173" spans="1:54" ht="12.75">
      <c r="A173" s="160"/>
      <c r="B173" s="160"/>
      <c r="C173" s="181"/>
      <c r="D173" s="313" t="s">
        <v>280</v>
      </c>
      <c r="E173" s="313"/>
      <c r="F173" s="314"/>
      <c r="G173" s="243"/>
      <c r="H173" s="243"/>
      <c r="I173" s="189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</row>
    <row r="174" spans="1:54" ht="12.75">
      <c r="A174" s="160"/>
      <c r="B174" s="160"/>
      <c r="C174" s="181"/>
      <c r="D174" s="313" t="s">
        <v>531</v>
      </c>
      <c r="E174" s="313"/>
      <c r="F174" s="314"/>
      <c r="G174" s="243"/>
      <c r="H174" s="243"/>
      <c r="I174" s="189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</row>
    <row r="175" spans="1:54" ht="12.75">
      <c r="A175" s="160"/>
      <c r="B175" s="160"/>
      <c r="C175" s="264"/>
      <c r="D175" s="313" t="s">
        <v>539</v>
      </c>
      <c r="E175" s="313"/>
      <c r="F175" s="314"/>
      <c r="G175" s="243"/>
      <c r="H175" s="243"/>
      <c r="I175" s="189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</row>
    <row r="176" spans="1:54" ht="12.75">
      <c r="A176" s="160"/>
      <c r="B176" s="160"/>
      <c r="C176" s="160"/>
      <c r="D176" s="160"/>
      <c r="E176" s="160"/>
      <c r="F176" s="160"/>
      <c r="G176" s="160"/>
      <c r="H176" s="160"/>
      <c r="I176" s="16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</row>
    <row r="177" spans="1:54" ht="12.75">
      <c r="A177" s="160"/>
      <c r="B177" s="160"/>
      <c r="C177" s="160"/>
      <c r="D177" s="160"/>
      <c r="E177" s="160"/>
      <c r="F177" s="160"/>
      <c r="G177" s="160"/>
      <c r="H177" s="160"/>
      <c r="I177" s="16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 t="s">
        <v>519</v>
      </c>
      <c r="BA177" s="120"/>
      <c r="BB177" s="120"/>
    </row>
    <row r="178" spans="1:54" ht="12.75">
      <c r="A178" s="160"/>
      <c r="B178" s="160"/>
      <c r="C178" s="315"/>
      <c r="D178" s="316"/>
      <c r="E178" s="316"/>
      <c r="F178" s="180"/>
      <c r="G178" s="317"/>
      <c r="H178" s="160"/>
      <c r="I178" s="18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 t="s">
        <v>513</v>
      </c>
      <c r="BA178" s="120" t="s">
        <v>109</v>
      </c>
      <c r="BB178" s="120"/>
    </row>
    <row r="179" spans="1:54" ht="12.75">
      <c r="A179" s="243"/>
      <c r="B179" s="160"/>
      <c r="C179" s="315"/>
      <c r="D179" s="316"/>
      <c r="E179" s="316"/>
      <c r="F179" s="180"/>
      <c r="G179" s="317"/>
      <c r="H179" s="160"/>
      <c r="I179" s="18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 t="s">
        <v>510</v>
      </c>
      <c r="AZ179" s="301">
        <f>AZ183+AZ184+AZ185</f>
        <v>2986462</v>
      </c>
      <c r="BA179" s="370">
        <f>AZ179*2.9</f>
        <v>8660739.799999999</v>
      </c>
      <c r="BB179" s="120"/>
    </row>
    <row r="180" spans="1:54" ht="12.75">
      <c r="A180" s="160"/>
      <c r="B180" s="160"/>
      <c r="C180" s="160"/>
      <c r="D180" s="160"/>
      <c r="E180" s="160"/>
      <c r="F180" s="160"/>
      <c r="G180" s="160"/>
      <c r="H180" s="160"/>
      <c r="I180" s="16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 t="s">
        <v>511</v>
      </c>
      <c r="AZ180" s="301">
        <f>AZ187-AZ179-AZ181</f>
        <v>907546</v>
      </c>
      <c r="BA180" s="370">
        <f>AZ180*2.9</f>
        <v>2631883.4</v>
      </c>
      <c r="BB180" s="120"/>
    </row>
    <row r="181" spans="1:54" ht="12.75">
      <c r="A181" s="160"/>
      <c r="B181" s="160"/>
      <c r="C181" s="160"/>
      <c r="D181" s="160"/>
      <c r="E181" s="160"/>
      <c r="F181" s="160"/>
      <c r="G181" s="160"/>
      <c r="H181" s="160"/>
      <c r="I181" s="16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 t="s">
        <v>512</v>
      </c>
      <c r="AZ181" s="301">
        <f>AZ186</f>
        <v>163780</v>
      </c>
      <c r="BA181" s="370">
        <f>AZ181*2.9</f>
        <v>474962</v>
      </c>
      <c r="BB181" s="120"/>
    </row>
    <row r="182" spans="52:53" ht="12.75">
      <c r="AZ182" s="368"/>
      <c r="BA182" s="368"/>
    </row>
    <row r="183" spans="51:53" ht="12.75">
      <c r="AY183" s="120" t="s">
        <v>514</v>
      </c>
      <c r="AZ183" s="369">
        <v>2742934</v>
      </c>
      <c r="BA183" s="368"/>
    </row>
    <row r="184" spans="51:53" ht="12.75">
      <c r="AY184" s="120" t="s">
        <v>515</v>
      </c>
      <c r="AZ184" s="369">
        <f>AZ95</f>
        <v>61675</v>
      </c>
      <c r="BA184" s="368"/>
    </row>
    <row r="185" spans="51:53" ht="12.75">
      <c r="AY185" s="120" t="s">
        <v>517</v>
      </c>
      <c r="AZ185" s="369">
        <v>181853</v>
      </c>
      <c r="BA185" s="368"/>
    </row>
    <row r="186" spans="51:53" ht="12.75">
      <c r="AY186" s="120" t="s">
        <v>518</v>
      </c>
      <c r="AZ186" s="369">
        <v>163780</v>
      </c>
      <c r="BA186" s="368"/>
    </row>
    <row r="187" spans="51:52" ht="12.75">
      <c r="AY187" s="120" t="s">
        <v>516</v>
      </c>
      <c r="AZ187" s="369">
        <f>AZ131</f>
        <v>4057788</v>
      </c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 t="s">
        <v>552</v>
      </c>
      <c r="C196" s="4"/>
      <c r="D196" s="380">
        <v>42342.11</v>
      </c>
      <c r="E196" s="380">
        <v>42360.78</v>
      </c>
      <c r="F196" s="380">
        <v>1800</v>
      </c>
      <c r="G196" s="380">
        <f>E196-D196</f>
        <v>18.669999999998254</v>
      </c>
      <c r="H196" s="380"/>
      <c r="I196" s="155">
        <f>ROUND(F196*G196+H196,0)</f>
        <v>33606</v>
      </c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2.75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2.75">
      <c r="A200" s="11"/>
      <c r="B200" s="11"/>
      <c r="C200" s="11"/>
      <c r="D200" s="11"/>
      <c r="E200" s="11"/>
      <c r="F200" s="11"/>
      <c r="G200" s="11"/>
      <c r="H200" s="11"/>
      <c r="I200" s="11"/>
    </row>
  </sheetData>
  <sheetProtection/>
  <printOptions/>
  <pageMargins left="0.7874015748031497" right="0.1968503937007874" top="0.1968503937007874" bottom="0.1968503937007874" header="0.3937007874015748" footer="0.3937007874015748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200"/>
  <sheetViews>
    <sheetView zoomScalePageLayoutView="0" workbookViewId="0" topLeftCell="A172">
      <selection activeCell="B3" sqref="B3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25390625" style="0" customWidth="1"/>
    <col min="4" max="4" width="11.125" style="0" customWidth="1"/>
    <col min="5" max="5" width="11.00390625" style="0" customWidth="1"/>
    <col min="6" max="6" width="9.375" style="0" customWidth="1"/>
    <col min="7" max="8" width="9.25390625" style="0" customWidth="1"/>
    <col min="9" max="9" width="12.00390625" style="0" customWidth="1"/>
    <col min="10" max="10" width="7.25390625" style="0" customWidth="1"/>
    <col min="11" max="11" width="37.625" style="0" customWidth="1"/>
    <col min="12" max="12" width="15.75390625" style="0" customWidth="1"/>
    <col min="13" max="14" width="11.00390625" style="0" customWidth="1"/>
    <col min="15" max="15" width="9.00390625" style="0" customWidth="1"/>
    <col min="16" max="16" width="10.375" style="0" customWidth="1"/>
    <col min="17" max="17" width="9.625" style="0" customWidth="1"/>
    <col min="18" max="18" width="11.75390625" style="0" customWidth="1"/>
    <col min="19" max="19" width="6.625" style="0" customWidth="1"/>
    <col min="20" max="20" width="12.00390625" style="0" customWidth="1"/>
    <col min="21" max="21" width="11.875" style="0" customWidth="1"/>
    <col min="22" max="22" width="16.125" style="0" customWidth="1"/>
    <col min="23" max="27" width="14.75390625" style="0" customWidth="1"/>
    <col min="28" max="28" width="6.375" style="0" customWidth="1"/>
    <col min="29" max="29" width="11.125" style="0" customWidth="1"/>
    <col min="31" max="31" width="21.625" style="0" customWidth="1"/>
    <col min="32" max="36" width="14.75390625" style="0" customWidth="1"/>
    <col min="37" max="37" width="7.00390625" style="0" customWidth="1"/>
    <col min="40" max="40" width="23.125" style="0" customWidth="1"/>
    <col min="41" max="45" width="14.75390625" style="0" customWidth="1"/>
    <col min="51" max="51" width="19.00390625" style="0" customWidth="1"/>
    <col min="52" max="52" width="17.25390625" style="0" customWidth="1"/>
    <col min="53" max="53" width="16.125" style="0" customWidth="1"/>
    <col min="54" max="54" width="19.25390625" style="0" customWidth="1"/>
    <col min="78" max="78" width="8.00390625" style="0" customWidth="1"/>
    <col min="79" max="79" width="8.625" style="0" customWidth="1"/>
    <col min="80" max="80" width="7.875" style="0" customWidth="1"/>
    <col min="81" max="81" width="10.875" style="0" customWidth="1"/>
    <col min="87" max="87" width="10.75390625" style="0" customWidth="1"/>
  </cols>
  <sheetData>
    <row r="1" spans="1:54" ht="12.7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60"/>
      <c r="T1" s="160"/>
      <c r="U1" s="160"/>
      <c r="V1" s="160"/>
      <c r="W1" s="160"/>
      <c r="X1" s="160"/>
      <c r="Y1" s="160"/>
      <c r="Z1" s="160"/>
      <c r="AA1" s="16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60"/>
      <c r="AU1" s="120"/>
      <c r="AV1" s="120"/>
      <c r="AW1" s="120"/>
      <c r="AX1" s="120"/>
      <c r="AY1" s="120"/>
      <c r="AZ1" s="120"/>
      <c r="BA1" s="120"/>
      <c r="BB1" s="120"/>
    </row>
    <row r="2" spans="1:54" ht="12.75" customHeight="1">
      <c r="A2" s="120"/>
      <c r="B2" s="120"/>
      <c r="C2" s="120"/>
      <c r="D2" s="120" t="s">
        <v>192</v>
      </c>
      <c r="E2" s="120"/>
      <c r="F2" s="120"/>
      <c r="G2" s="120"/>
      <c r="H2" s="120"/>
      <c r="I2" s="120"/>
      <c r="J2" s="120"/>
      <c r="K2" s="120"/>
      <c r="L2" s="120"/>
      <c r="M2" s="120" t="s">
        <v>288</v>
      </c>
      <c r="N2" s="120"/>
      <c r="O2" s="120"/>
      <c r="P2" s="120"/>
      <c r="Q2" s="120"/>
      <c r="R2" s="120"/>
      <c r="S2" s="160"/>
      <c r="T2" s="160"/>
      <c r="U2" s="160"/>
      <c r="V2" s="160"/>
      <c r="W2" s="160"/>
      <c r="X2" s="160"/>
      <c r="Y2" s="160"/>
      <c r="Z2" s="160"/>
      <c r="AA2" s="160"/>
      <c r="AB2" s="120" t="s">
        <v>325</v>
      </c>
      <c r="AC2" s="120"/>
      <c r="AD2" s="120"/>
      <c r="AE2" s="120"/>
      <c r="AF2" s="120"/>
      <c r="AG2" s="120"/>
      <c r="AH2" s="120"/>
      <c r="AI2" s="120"/>
      <c r="AJ2" s="120"/>
      <c r="AK2" s="120" t="s">
        <v>325</v>
      </c>
      <c r="AL2" s="120"/>
      <c r="AM2" s="120"/>
      <c r="AN2" s="120"/>
      <c r="AO2" s="120"/>
      <c r="AP2" s="120"/>
      <c r="AQ2" s="120"/>
      <c r="AR2" s="120"/>
      <c r="AS2" s="120"/>
      <c r="AT2" s="160" t="s">
        <v>530</v>
      </c>
      <c r="AU2" s="120"/>
      <c r="AV2" s="120"/>
      <c r="AW2" s="120"/>
      <c r="AX2" s="120"/>
      <c r="AY2" s="120"/>
      <c r="AZ2" s="120"/>
      <c r="BA2" s="120"/>
      <c r="BB2" s="120"/>
    </row>
    <row r="3" spans="1:54" ht="12.75" customHeight="1">
      <c r="A3" s="120"/>
      <c r="B3" s="120"/>
      <c r="C3" s="120"/>
      <c r="D3" s="120" t="s">
        <v>193</v>
      </c>
      <c r="E3" s="120"/>
      <c r="F3" s="120"/>
      <c r="G3" s="120"/>
      <c r="H3" s="120"/>
      <c r="I3" s="120"/>
      <c r="J3" s="120"/>
      <c r="K3" s="120"/>
      <c r="L3" s="120"/>
      <c r="M3" s="120" t="s">
        <v>289</v>
      </c>
      <c r="N3" s="120"/>
      <c r="O3" s="120"/>
      <c r="P3" s="120"/>
      <c r="Q3" s="120"/>
      <c r="R3" s="120"/>
      <c r="S3" s="120" t="s">
        <v>325</v>
      </c>
      <c r="T3" s="120"/>
      <c r="U3" s="120"/>
      <c r="V3" s="120"/>
      <c r="W3" s="120"/>
      <c r="X3" s="120"/>
      <c r="Y3" s="120"/>
      <c r="Z3" s="120"/>
      <c r="AA3" s="120"/>
      <c r="AB3" s="120" t="s">
        <v>324</v>
      </c>
      <c r="AC3" s="120"/>
      <c r="AD3" s="120"/>
      <c r="AE3" s="120"/>
      <c r="AF3" s="120"/>
      <c r="AG3" s="120"/>
      <c r="AH3" s="120"/>
      <c r="AI3" s="120"/>
      <c r="AJ3" s="120"/>
      <c r="AK3" s="120" t="s">
        <v>324</v>
      </c>
      <c r="AL3" s="120"/>
      <c r="AM3" s="120"/>
      <c r="AN3" s="120"/>
      <c r="AO3" s="120"/>
      <c r="AP3" s="120"/>
      <c r="AQ3" s="120"/>
      <c r="AR3" s="120"/>
      <c r="AS3" s="120"/>
      <c r="AT3" s="160" t="s">
        <v>532</v>
      </c>
      <c r="AU3" s="120"/>
      <c r="AV3" s="120"/>
      <c r="AW3" s="120"/>
      <c r="AX3" s="120"/>
      <c r="AY3" s="120"/>
      <c r="AZ3" s="120"/>
      <c r="BA3" s="120"/>
      <c r="BB3" s="120"/>
    </row>
    <row r="4" spans="1:54" ht="12.7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 t="s">
        <v>324</v>
      </c>
      <c r="T4" s="120"/>
      <c r="U4" s="120"/>
      <c r="V4" s="120"/>
      <c r="W4" s="120"/>
      <c r="X4" s="120"/>
      <c r="Y4" s="120"/>
      <c r="Z4" s="120"/>
      <c r="AA4" s="120"/>
      <c r="AB4" s="120" t="s">
        <v>326</v>
      </c>
      <c r="AC4" s="120"/>
      <c r="AD4" s="120"/>
      <c r="AE4" s="120"/>
      <c r="AF4" s="120"/>
      <c r="AG4" s="120"/>
      <c r="AH4" s="120"/>
      <c r="AI4" s="120"/>
      <c r="AJ4" s="120"/>
      <c r="AK4" s="120" t="s">
        <v>326</v>
      </c>
      <c r="AL4" s="120"/>
      <c r="AM4" s="120"/>
      <c r="AN4" s="120"/>
      <c r="AO4" s="120"/>
      <c r="AP4" s="120"/>
      <c r="AQ4" s="120"/>
      <c r="AR4" s="120"/>
      <c r="AS4" s="120"/>
      <c r="AT4" s="160"/>
      <c r="AU4" s="120" t="s">
        <v>400</v>
      </c>
      <c r="AV4" s="120"/>
      <c r="AW4" s="120"/>
      <c r="AX4" s="120"/>
      <c r="AY4" s="254" t="s">
        <v>140</v>
      </c>
      <c r="AZ4" s="254" t="s">
        <v>555</v>
      </c>
      <c r="BA4" s="120"/>
      <c r="BB4" s="120"/>
    </row>
    <row r="5" spans="1:54" ht="12.75" customHeight="1">
      <c r="A5" s="120"/>
      <c r="B5" s="120"/>
      <c r="C5" s="120" t="s">
        <v>194</v>
      </c>
      <c r="D5" s="120"/>
      <c r="E5" s="120"/>
      <c r="F5" s="120"/>
      <c r="G5" s="120"/>
      <c r="H5" s="120"/>
      <c r="I5" s="120"/>
      <c r="J5" s="120"/>
      <c r="K5" s="120"/>
      <c r="L5" s="120" t="s">
        <v>194</v>
      </c>
      <c r="M5" s="120"/>
      <c r="N5" s="120"/>
      <c r="O5" s="120"/>
      <c r="P5" s="120"/>
      <c r="Q5" s="120"/>
      <c r="R5" s="120"/>
      <c r="S5" s="120" t="s">
        <v>326</v>
      </c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45"/>
      <c r="AU5" s="146" t="s">
        <v>405</v>
      </c>
      <c r="AV5" s="146"/>
      <c r="AW5" s="146"/>
      <c r="AX5" s="146"/>
      <c r="AY5" s="146"/>
      <c r="AZ5" s="145" t="s">
        <v>406</v>
      </c>
      <c r="BA5" s="145" t="s">
        <v>407</v>
      </c>
      <c r="BB5" s="143" t="s">
        <v>364</v>
      </c>
    </row>
    <row r="6" spans="1:54" ht="12.75" customHeight="1">
      <c r="A6" s="120"/>
      <c r="B6" s="120"/>
      <c r="C6" s="120"/>
      <c r="D6" s="277" t="s">
        <v>600</v>
      </c>
      <c r="E6" s="277"/>
      <c r="F6" s="120"/>
      <c r="G6" s="120"/>
      <c r="H6" s="120"/>
      <c r="I6" s="120"/>
      <c r="J6" s="120"/>
      <c r="K6" s="120"/>
      <c r="L6" s="120"/>
      <c r="M6" s="277" t="s">
        <v>600</v>
      </c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59"/>
      <c r="AU6" s="160"/>
      <c r="AV6" s="160"/>
      <c r="AW6" s="160"/>
      <c r="AX6" s="160"/>
      <c r="AY6" s="160"/>
      <c r="AZ6" s="159" t="s">
        <v>413</v>
      </c>
      <c r="BA6" s="159" t="s">
        <v>177</v>
      </c>
      <c r="BB6" s="173" t="s">
        <v>80</v>
      </c>
    </row>
    <row r="7" spans="1:54" ht="12.75" customHeight="1">
      <c r="A7" s="120" t="s">
        <v>528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59"/>
      <c r="AU7" s="160"/>
      <c r="AV7" s="160"/>
      <c r="AW7" s="160"/>
      <c r="AX7" s="160"/>
      <c r="AY7" s="160"/>
      <c r="AZ7" s="103" t="s">
        <v>178</v>
      </c>
      <c r="BA7" s="103"/>
      <c r="BB7" s="144" t="s">
        <v>81</v>
      </c>
    </row>
    <row r="8" spans="1:54" ht="12.75" customHeight="1">
      <c r="A8" s="120" t="s">
        <v>196</v>
      </c>
      <c r="B8" s="120"/>
      <c r="C8" s="120"/>
      <c r="D8" s="120"/>
      <c r="E8" s="120"/>
      <c r="F8" s="120"/>
      <c r="G8" s="120"/>
      <c r="H8" s="120"/>
      <c r="I8" s="120"/>
      <c r="J8" s="120" t="s">
        <v>528</v>
      </c>
      <c r="K8" s="120"/>
      <c r="L8" s="120"/>
      <c r="M8" s="120"/>
      <c r="N8" s="120"/>
      <c r="O8" s="120"/>
      <c r="P8" s="120"/>
      <c r="Q8" s="120"/>
      <c r="R8" s="120"/>
      <c r="S8" s="120" t="s">
        <v>357</v>
      </c>
      <c r="T8" s="120"/>
      <c r="U8" s="120"/>
      <c r="V8" s="120"/>
      <c r="W8" s="120"/>
      <c r="X8" s="120"/>
      <c r="Y8" s="120"/>
      <c r="Z8" s="120"/>
      <c r="AA8" s="120"/>
      <c r="AB8" s="120" t="s">
        <v>357</v>
      </c>
      <c r="AC8" s="120"/>
      <c r="AD8" s="120"/>
      <c r="AE8" s="120"/>
      <c r="AF8" s="120"/>
      <c r="AG8" s="120"/>
      <c r="AH8" s="120"/>
      <c r="AI8" s="120"/>
      <c r="AJ8" s="120"/>
      <c r="AK8" s="120" t="s">
        <v>357</v>
      </c>
      <c r="AL8" s="120"/>
      <c r="AM8" s="120"/>
      <c r="AN8" s="120"/>
      <c r="AO8" s="120"/>
      <c r="AP8" s="120"/>
      <c r="AQ8" s="120"/>
      <c r="AR8" s="120"/>
      <c r="AS8" s="120"/>
      <c r="AT8" s="145" t="s">
        <v>45</v>
      </c>
      <c r="AU8" s="146"/>
      <c r="AV8" s="146"/>
      <c r="AW8" s="146"/>
      <c r="AX8" s="146"/>
      <c r="AY8" s="147"/>
      <c r="AZ8" s="187">
        <f>I16+I17+I20+I22+I77</f>
        <v>10316666.8</v>
      </c>
      <c r="BA8" s="278"/>
      <c r="BB8" s="279">
        <f>BB9+BB14</f>
        <v>25957623.127839997</v>
      </c>
    </row>
    <row r="9" spans="1:54" ht="12.75" customHeight="1">
      <c r="A9" s="120" t="s">
        <v>198</v>
      </c>
      <c r="B9" s="120"/>
      <c r="C9" s="120"/>
      <c r="D9" s="120"/>
      <c r="E9" s="120"/>
      <c r="F9" s="120" t="s">
        <v>197</v>
      </c>
      <c r="G9" s="120"/>
      <c r="H9" s="120"/>
      <c r="I9" s="120"/>
      <c r="J9" s="120" t="s">
        <v>196</v>
      </c>
      <c r="K9" s="120"/>
      <c r="L9" s="120"/>
      <c r="M9" s="120"/>
      <c r="N9" s="120"/>
      <c r="O9" s="120" t="s">
        <v>197</v>
      </c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255" t="s">
        <v>383</v>
      </c>
      <c r="AU9" s="256"/>
      <c r="AV9" s="256"/>
      <c r="AW9" s="256"/>
      <c r="AX9" s="146"/>
      <c r="AY9" s="147"/>
      <c r="AZ9" s="280">
        <f>AZ11+AZ12</f>
        <v>5967941</v>
      </c>
      <c r="BA9" s="281">
        <f>(BB12+BB11)/AZ9</f>
        <v>4.349206348469262</v>
      </c>
      <c r="BB9" s="279">
        <f>BB10+BB11+BB12+BB13</f>
        <v>25955806.88449</v>
      </c>
    </row>
    <row r="10" spans="1:54" ht="12.75">
      <c r="A10" s="143" t="s">
        <v>335</v>
      </c>
      <c r="B10" s="171" t="s">
        <v>199</v>
      </c>
      <c r="C10" s="143" t="s">
        <v>200</v>
      </c>
      <c r="D10" s="224" t="s">
        <v>286</v>
      </c>
      <c r="E10" s="225"/>
      <c r="F10" s="143" t="s">
        <v>201</v>
      </c>
      <c r="G10" s="143" t="s">
        <v>404</v>
      </c>
      <c r="H10" s="143" t="s">
        <v>202</v>
      </c>
      <c r="I10" s="143" t="s">
        <v>191</v>
      </c>
      <c r="J10" s="120" t="s">
        <v>198</v>
      </c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277" t="s">
        <v>601</v>
      </c>
      <c r="Z10" s="120"/>
      <c r="AA10" s="120"/>
      <c r="AB10" s="120"/>
      <c r="AC10" s="120"/>
      <c r="AD10" s="120"/>
      <c r="AE10" s="120"/>
      <c r="AF10" s="120"/>
      <c r="AG10" s="120"/>
      <c r="AH10" s="277" t="s">
        <v>601</v>
      </c>
      <c r="AI10" s="120"/>
      <c r="AJ10" s="120"/>
      <c r="AK10" s="120"/>
      <c r="AL10" s="120"/>
      <c r="AM10" s="120"/>
      <c r="AN10" s="120"/>
      <c r="AO10" s="120"/>
      <c r="AP10" s="120"/>
      <c r="AQ10" s="277" t="s">
        <v>601</v>
      </c>
      <c r="AR10" s="120"/>
      <c r="AS10" s="120"/>
      <c r="AT10" s="145" t="s">
        <v>179</v>
      </c>
      <c r="AU10" s="146"/>
      <c r="AV10" s="146"/>
      <c r="AW10" s="146"/>
      <c r="AX10" s="146"/>
      <c r="AY10" s="147"/>
      <c r="AZ10" s="282"/>
      <c r="BA10" s="283">
        <v>0</v>
      </c>
      <c r="BB10" s="284">
        <f>AZ10*BA10</f>
        <v>0</v>
      </c>
    </row>
    <row r="11" spans="1:54" ht="12.75">
      <c r="A11" s="173"/>
      <c r="B11" s="173"/>
      <c r="C11" s="173"/>
      <c r="D11" s="143" t="s">
        <v>203</v>
      </c>
      <c r="E11" s="145" t="s">
        <v>204</v>
      </c>
      <c r="F11" s="173" t="s">
        <v>205</v>
      </c>
      <c r="G11" s="173" t="s">
        <v>190</v>
      </c>
      <c r="H11" s="173"/>
      <c r="I11" s="173" t="s">
        <v>206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45" t="s">
        <v>180</v>
      </c>
      <c r="AU11" s="146"/>
      <c r="AV11" s="146"/>
      <c r="AW11" s="146"/>
      <c r="AX11" s="146"/>
      <c r="AY11" s="147"/>
      <c r="AZ11" s="155">
        <f>I81+I73</f>
        <v>2470</v>
      </c>
      <c r="BA11" s="285">
        <v>6.07931</v>
      </c>
      <c r="BB11" s="284">
        <f>AZ11*BA11</f>
        <v>15015.895700000001</v>
      </c>
    </row>
    <row r="12" spans="1:54" ht="12.75">
      <c r="A12" s="144"/>
      <c r="B12" s="144"/>
      <c r="C12" s="144"/>
      <c r="D12" s="144" t="s">
        <v>207</v>
      </c>
      <c r="E12" s="103" t="s">
        <v>207</v>
      </c>
      <c r="F12" s="144" t="s">
        <v>208</v>
      </c>
      <c r="G12" s="144"/>
      <c r="H12" s="144"/>
      <c r="I12" s="144"/>
      <c r="J12" s="143" t="s">
        <v>335</v>
      </c>
      <c r="K12" s="171" t="s">
        <v>199</v>
      </c>
      <c r="L12" s="143" t="s">
        <v>200</v>
      </c>
      <c r="M12" s="224" t="s">
        <v>464</v>
      </c>
      <c r="N12" s="225"/>
      <c r="O12" s="143" t="s">
        <v>201</v>
      </c>
      <c r="P12" s="143" t="s">
        <v>404</v>
      </c>
      <c r="Q12" s="143" t="s">
        <v>202</v>
      </c>
      <c r="R12" s="143" t="s">
        <v>191</v>
      </c>
      <c r="S12" s="143" t="s">
        <v>335</v>
      </c>
      <c r="T12" s="145" t="s">
        <v>336</v>
      </c>
      <c r="U12" s="146"/>
      <c r="V12" s="147"/>
      <c r="W12" s="102" t="s">
        <v>337</v>
      </c>
      <c r="X12" s="150"/>
      <c r="Y12" s="150"/>
      <c r="Z12" s="150"/>
      <c r="AA12" s="151"/>
      <c r="AB12" s="143" t="s">
        <v>335</v>
      </c>
      <c r="AC12" s="145" t="s">
        <v>336</v>
      </c>
      <c r="AD12" s="146"/>
      <c r="AE12" s="147"/>
      <c r="AF12" s="102" t="s">
        <v>337</v>
      </c>
      <c r="AG12" s="150"/>
      <c r="AH12" s="150"/>
      <c r="AI12" s="150"/>
      <c r="AJ12" s="151"/>
      <c r="AK12" s="143" t="s">
        <v>335</v>
      </c>
      <c r="AL12" s="145" t="s">
        <v>336</v>
      </c>
      <c r="AM12" s="146"/>
      <c r="AN12" s="147"/>
      <c r="AO12" s="102" t="s">
        <v>337</v>
      </c>
      <c r="AP12" s="150"/>
      <c r="AQ12" s="150"/>
      <c r="AR12" s="150"/>
      <c r="AS12" s="151"/>
      <c r="AT12" s="145" t="s">
        <v>181</v>
      </c>
      <c r="AU12" s="146"/>
      <c r="AV12" s="146"/>
      <c r="AW12" s="146"/>
      <c r="AX12" s="146"/>
      <c r="AY12" s="147"/>
      <c r="AZ12" s="280">
        <f>I75</f>
        <v>5965471</v>
      </c>
      <c r="BA12" s="286">
        <v>4.34849</v>
      </c>
      <c r="BB12" s="284">
        <f>AZ12*BA12</f>
        <v>25940790.988789998</v>
      </c>
    </row>
    <row r="13" spans="1:54" ht="12.75">
      <c r="A13" s="152">
        <v>1</v>
      </c>
      <c r="B13" s="152">
        <v>2</v>
      </c>
      <c r="C13" s="152">
        <v>3</v>
      </c>
      <c r="D13" s="152">
        <v>4</v>
      </c>
      <c r="E13" s="152">
        <v>5</v>
      </c>
      <c r="F13" s="152">
        <v>6</v>
      </c>
      <c r="G13" s="152">
        <v>7</v>
      </c>
      <c r="H13" s="152">
        <v>8</v>
      </c>
      <c r="I13" s="152">
        <v>9</v>
      </c>
      <c r="J13" s="173"/>
      <c r="K13" s="173"/>
      <c r="L13" s="173"/>
      <c r="M13" s="143" t="s">
        <v>203</v>
      </c>
      <c r="N13" s="145" t="s">
        <v>204</v>
      </c>
      <c r="O13" s="173" t="s">
        <v>205</v>
      </c>
      <c r="P13" s="173" t="s">
        <v>190</v>
      </c>
      <c r="Q13" s="173"/>
      <c r="R13" s="173" t="s">
        <v>206</v>
      </c>
      <c r="S13" s="144"/>
      <c r="T13" s="103"/>
      <c r="U13" s="148"/>
      <c r="V13" s="149"/>
      <c r="W13" s="152" t="s">
        <v>338</v>
      </c>
      <c r="X13" s="152" t="s">
        <v>339</v>
      </c>
      <c r="Y13" s="152" t="s">
        <v>340</v>
      </c>
      <c r="Z13" s="152" t="s">
        <v>341</v>
      </c>
      <c r="AA13" s="152" t="s">
        <v>342</v>
      </c>
      <c r="AB13" s="144"/>
      <c r="AC13" s="103"/>
      <c r="AD13" s="148"/>
      <c r="AE13" s="149"/>
      <c r="AF13" s="152" t="s">
        <v>338</v>
      </c>
      <c r="AG13" s="152" t="s">
        <v>339</v>
      </c>
      <c r="AH13" s="152" t="s">
        <v>340</v>
      </c>
      <c r="AI13" s="152" t="s">
        <v>341</v>
      </c>
      <c r="AJ13" s="152" t="s">
        <v>342</v>
      </c>
      <c r="AK13" s="144"/>
      <c r="AL13" s="103"/>
      <c r="AM13" s="148"/>
      <c r="AN13" s="149"/>
      <c r="AO13" s="152" t="s">
        <v>338</v>
      </c>
      <c r="AP13" s="152" t="s">
        <v>339</v>
      </c>
      <c r="AQ13" s="152" t="s">
        <v>340</v>
      </c>
      <c r="AR13" s="152" t="s">
        <v>341</v>
      </c>
      <c r="AS13" s="152" t="s">
        <v>342</v>
      </c>
      <c r="AT13" s="102" t="s">
        <v>173</v>
      </c>
      <c r="AU13" s="150"/>
      <c r="AV13" s="150"/>
      <c r="AW13" s="150"/>
      <c r="AX13" s="150"/>
      <c r="AY13" s="151"/>
      <c r="AZ13" s="280"/>
      <c r="BA13" s="257"/>
      <c r="BB13" s="284">
        <f>BA13*AZ13</f>
        <v>0</v>
      </c>
    </row>
    <row r="14" spans="1:54" ht="12.75">
      <c r="A14" s="103"/>
      <c r="B14" s="148"/>
      <c r="C14" s="320" t="s">
        <v>209</v>
      </c>
      <c r="D14" s="320"/>
      <c r="E14" s="148"/>
      <c r="F14" s="148"/>
      <c r="G14" s="148"/>
      <c r="H14" s="148"/>
      <c r="I14" s="149"/>
      <c r="J14" s="144"/>
      <c r="K14" s="144"/>
      <c r="L14" s="144"/>
      <c r="M14" s="144" t="s">
        <v>207</v>
      </c>
      <c r="N14" s="103" t="s">
        <v>207</v>
      </c>
      <c r="O14" s="144" t="s">
        <v>208</v>
      </c>
      <c r="P14" s="144"/>
      <c r="Q14" s="144"/>
      <c r="R14" s="144"/>
      <c r="S14" s="152">
        <v>1</v>
      </c>
      <c r="T14" s="96" t="s">
        <v>159</v>
      </c>
      <c r="U14" s="96"/>
      <c r="V14" s="96"/>
      <c r="W14" s="155">
        <f aca="true" t="shared" si="0" ref="W14:W25">SUM(X14:AA14)</f>
        <v>4137365</v>
      </c>
      <c r="X14" s="155">
        <f>SUM(X15:X26)</f>
        <v>3636009</v>
      </c>
      <c r="Y14" s="155">
        <f>SUM(Y15:Y27)</f>
        <v>0</v>
      </c>
      <c r="Z14" s="155">
        <f>SUM(Z15:Z26)</f>
        <v>501356</v>
      </c>
      <c r="AA14" s="152">
        <f>SUM(AA15:AA27)</f>
        <v>0</v>
      </c>
      <c r="AB14" s="152"/>
      <c r="AC14" s="96" t="s">
        <v>136</v>
      </c>
      <c r="AD14" s="96"/>
      <c r="AE14" s="96"/>
      <c r="AF14" s="163">
        <f>SUM(AG14:AJ14)</f>
        <v>154142</v>
      </c>
      <c r="AG14" s="155">
        <f>SUM(AG16:AG22)</f>
        <v>146821</v>
      </c>
      <c r="AH14" s="155">
        <f>SUM(AH16:AH22)</f>
        <v>0</v>
      </c>
      <c r="AI14" s="155">
        <f>SUM(AI16:AI22)</f>
        <v>7321</v>
      </c>
      <c r="AJ14" s="152">
        <f>SUM(AJ16:AJ22)</f>
        <v>0</v>
      </c>
      <c r="AK14" s="171">
        <v>1</v>
      </c>
      <c r="AL14" s="143" t="s">
        <v>136</v>
      </c>
      <c r="AM14" s="143"/>
      <c r="AN14" s="143"/>
      <c r="AO14" s="175">
        <f>SUM(AP14:AS14)</f>
        <v>57069</v>
      </c>
      <c r="AP14" s="175">
        <f>SUM(AP16:AP17)</f>
        <v>0</v>
      </c>
      <c r="AQ14" s="175">
        <f>SUM(AQ16:AQ17)</f>
        <v>0</v>
      </c>
      <c r="AR14" s="175">
        <f>ROUND(SUM(AR16:AR20),0)</f>
        <v>57069</v>
      </c>
      <c r="AS14" s="171">
        <f>SUM(AS16:AS17)</f>
        <v>0</v>
      </c>
      <c r="AT14" s="144" t="s">
        <v>423</v>
      </c>
      <c r="AU14" s="144"/>
      <c r="AV14" s="144"/>
      <c r="AW14" s="144"/>
      <c r="AX14" s="144"/>
      <c r="AY14" s="144"/>
      <c r="AZ14" s="280">
        <f>SUM(AZ15:AZ21)</f>
        <v>587</v>
      </c>
      <c r="BA14" s="287"/>
      <c r="BB14" s="284">
        <f>SUM(BB15:BB21)</f>
        <v>1816.2433500000002</v>
      </c>
    </row>
    <row r="15" spans="1:54" ht="12.75">
      <c r="A15" s="103"/>
      <c r="B15" s="102" t="s">
        <v>520</v>
      </c>
      <c r="C15" s="320"/>
      <c r="D15" s="320"/>
      <c r="E15" s="148"/>
      <c r="F15" s="148"/>
      <c r="G15" s="148"/>
      <c r="H15" s="148"/>
      <c r="I15" s="149"/>
      <c r="J15" s="152">
        <v>1</v>
      </c>
      <c r="K15" s="152">
        <v>2</v>
      </c>
      <c r="L15" s="152">
        <v>3</v>
      </c>
      <c r="M15" s="152">
        <v>4</v>
      </c>
      <c r="N15" s="152">
        <v>5</v>
      </c>
      <c r="O15" s="152">
        <v>6</v>
      </c>
      <c r="P15" s="152">
        <v>7</v>
      </c>
      <c r="Q15" s="152">
        <v>8</v>
      </c>
      <c r="R15" s="152">
        <v>9</v>
      </c>
      <c r="S15" s="170" t="s">
        <v>145</v>
      </c>
      <c r="T15" s="145" t="s">
        <v>121</v>
      </c>
      <c r="U15" s="146"/>
      <c r="V15" s="146"/>
      <c r="W15" s="163">
        <f t="shared" si="0"/>
        <v>2368485</v>
      </c>
      <c r="X15" s="193">
        <f>ROUND(I20,0)</f>
        <v>2368485</v>
      </c>
      <c r="Y15" s="171">
        <v>0</v>
      </c>
      <c r="Z15" s="171">
        <v>0</v>
      </c>
      <c r="AA15" s="171">
        <v>0</v>
      </c>
      <c r="AB15" s="171">
        <v>1</v>
      </c>
      <c r="AC15" s="145" t="s">
        <v>543</v>
      </c>
      <c r="AD15" s="146"/>
      <c r="AE15" s="147"/>
      <c r="AF15" s="162"/>
      <c r="AG15" s="165"/>
      <c r="AH15" s="165"/>
      <c r="AI15" s="165"/>
      <c r="AJ15" s="303"/>
      <c r="AK15" s="319"/>
      <c r="AL15" s="145" t="s">
        <v>545</v>
      </c>
      <c r="AM15" s="146"/>
      <c r="AN15" s="147"/>
      <c r="AO15" s="175"/>
      <c r="AP15" s="171"/>
      <c r="AQ15" s="171"/>
      <c r="AR15" s="175"/>
      <c r="AS15" s="171"/>
      <c r="AT15" s="147" t="s">
        <v>174</v>
      </c>
      <c r="AU15" s="143"/>
      <c r="AV15" s="143"/>
      <c r="AW15" s="143"/>
      <c r="AX15" s="143"/>
      <c r="AY15" s="143"/>
      <c r="AZ15" s="155">
        <f>AS57-AZ16</f>
        <v>0</v>
      </c>
      <c r="BA15" s="288"/>
      <c r="BB15" s="284">
        <f>AZ15*BA15</f>
        <v>0</v>
      </c>
    </row>
    <row r="16" spans="1:54" ht="12.75">
      <c r="A16" s="171">
        <v>1</v>
      </c>
      <c r="B16" s="143" t="s">
        <v>249</v>
      </c>
      <c r="C16" s="197">
        <v>804152757</v>
      </c>
      <c r="D16" s="230">
        <v>4570.7744</v>
      </c>
      <c r="E16" s="230">
        <v>4665.781</v>
      </c>
      <c r="F16" s="155">
        <v>36000</v>
      </c>
      <c r="G16" s="252">
        <f>E16-D16</f>
        <v>95.00659999999971</v>
      </c>
      <c r="H16" s="96"/>
      <c r="I16" s="155">
        <f>ROUND((F16*G16+H16),0)</f>
        <v>3420238</v>
      </c>
      <c r="J16" s="103"/>
      <c r="K16" s="148"/>
      <c r="L16" s="148" t="s">
        <v>209</v>
      </c>
      <c r="M16" s="148"/>
      <c r="N16" s="148"/>
      <c r="O16" s="148"/>
      <c r="P16" s="148"/>
      <c r="Q16" s="148"/>
      <c r="R16" s="149"/>
      <c r="S16" s="157" t="s">
        <v>146</v>
      </c>
      <c r="T16" s="159" t="s">
        <v>122</v>
      </c>
      <c r="U16" s="160"/>
      <c r="V16" s="160"/>
      <c r="W16" s="163">
        <f t="shared" si="0"/>
        <v>0</v>
      </c>
      <c r="X16" s="186">
        <f>ROUND(I27,0)</f>
        <v>0</v>
      </c>
      <c r="Y16" s="168">
        <v>0</v>
      </c>
      <c r="Z16" s="163">
        <v>0</v>
      </c>
      <c r="AA16" s="168">
        <v>0</v>
      </c>
      <c r="AB16" s="157" t="s">
        <v>145</v>
      </c>
      <c r="AC16" s="159" t="s">
        <v>343</v>
      </c>
      <c r="AD16" s="160"/>
      <c r="AE16" s="161"/>
      <c r="AF16" s="163">
        <f>AG16+AH16+AI16+AJ16</f>
        <v>146821</v>
      </c>
      <c r="AG16" s="163">
        <v>146821</v>
      </c>
      <c r="AH16" s="168">
        <v>0</v>
      </c>
      <c r="AI16" s="163">
        <v>0</v>
      </c>
      <c r="AJ16" s="192">
        <v>0</v>
      </c>
      <c r="AK16" s="157" t="s">
        <v>145</v>
      </c>
      <c r="AL16" s="159" t="s">
        <v>84</v>
      </c>
      <c r="AM16" s="160"/>
      <c r="AN16" s="161"/>
      <c r="AO16" s="163">
        <f>AP16+AQ16+AR16+AS16</f>
        <v>384</v>
      </c>
      <c r="AP16" s="168">
        <v>0</v>
      </c>
      <c r="AQ16" s="168">
        <v>0</v>
      </c>
      <c r="AR16" s="163">
        <v>384</v>
      </c>
      <c r="AS16" s="168">
        <v>0</v>
      </c>
      <c r="AT16" s="147" t="s">
        <v>174</v>
      </c>
      <c r="AU16" s="143"/>
      <c r="AV16" s="143"/>
      <c r="AW16" s="143"/>
      <c r="AX16" s="143"/>
      <c r="AY16" s="143"/>
      <c r="AZ16" s="155">
        <f>AS57/100*80</f>
        <v>0</v>
      </c>
      <c r="BA16" s="289"/>
      <c r="BB16" s="284">
        <f>AZ16*BA16</f>
        <v>0</v>
      </c>
    </row>
    <row r="17" spans="1:54" ht="12.75">
      <c r="A17" s="144"/>
      <c r="B17" s="103" t="s">
        <v>250</v>
      </c>
      <c r="C17" s="213">
        <v>109054169</v>
      </c>
      <c r="D17" s="230">
        <v>7019.3132</v>
      </c>
      <c r="E17" s="230">
        <v>7143.056</v>
      </c>
      <c r="F17" s="155">
        <v>36000</v>
      </c>
      <c r="G17" s="252">
        <f>E17-D17</f>
        <v>123.74279999999999</v>
      </c>
      <c r="H17" s="96"/>
      <c r="I17" s="155">
        <f>F17*G17+H17</f>
        <v>4454740.8</v>
      </c>
      <c r="J17" s="96"/>
      <c r="K17" s="102" t="s">
        <v>210</v>
      </c>
      <c r="L17" s="150"/>
      <c r="M17" s="150"/>
      <c r="N17" s="150"/>
      <c r="O17" s="150"/>
      <c r="P17" s="150"/>
      <c r="Q17" s="150"/>
      <c r="R17" s="151"/>
      <c r="S17" s="157" t="s">
        <v>147</v>
      </c>
      <c r="T17" s="159" t="s">
        <v>123</v>
      </c>
      <c r="U17" s="160"/>
      <c r="V17" s="160"/>
      <c r="W17" s="163">
        <f t="shared" si="0"/>
        <v>307326</v>
      </c>
      <c r="X17" s="186">
        <f>ROUND(I29,0)</f>
        <v>307326</v>
      </c>
      <c r="Y17" s="168">
        <v>0</v>
      </c>
      <c r="Z17" s="163">
        <v>0</v>
      </c>
      <c r="AA17" s="168">
        <v>0</v>
      </c>
      <c r="AB17" s="157" t="s">
        <v>146</v>
      </c>
      <c r="AC17" s="159" t="s">
        <v>172</v>
      </c>
      <c r="AD17" s="160"/>
      <c r="AE17" s="161"/>
      <c r="AF17" s="163">
        <f>AG17+AH17+AI17+AJ17</f>
        <v>3891</v>
      </c>
      <c r="AG17" s="168">
        <v>0</v>
      </c>
      <c r="AH17" s="168">
        <v>0</v>
      </c>
      <c r="AI17" s="163">
        <v>3891</v>
      </c>
      <c r="AJ17" s="192">
        <v>0</v>
      </c>
      <c r="AK17" s="157" t="s">
        <v>146</v>
      </c>
      <c r="AL17" s="159" t="s">
        <v>277</v>
      </c>
      <c r="AM17" s="160"/>
      <c r="AN17" s="161"/>
      <c r="AO17" s="163">
        <f>AP17+AQ17+AR17+AS17</f>
        <v>3388</v>
      </c>
      <c r="AP17" s="168">
        <v>0</v>
      </c>
      <c r="AQ17" s="168">
        <v>0</v>
      </c>
      <c r="AR17" s="163">
        <v>3388</v>
      </c>
      <c r="AS17" s="168">
        <v>0</v>
      </c>
      <c r="AT17" s="146" t="s">
        <v>141</v>
      </c>
      <c r="AU17" s="146"/>
      <c r="AV17" s="146"/>
      <c r="AW17" s="146"/>
      <c r="AX17" s="146"/>
      <c r="AY17" s="147"/>
      <c r="AZ17" s="280">
        <f>R21</f>
        <v>480</v>
      </c>
      <c r="BA17" s="290">
        <v>3.41</v>
      </c>
      <c r="BB17" s="284">
        <f>AZ17*BA17</f>
        <v>1636.8000000000002</v>
      </c>
    </row>
    <row r="18" spans="1:54" ht="12.75">
      <c r="A18" s="102"/>
      <c r="B18" s="150"/>
      <c r="C18" s="148"/>
      <c r="D18" s="150"/>
      <c r="E18" s="150"/>
      <c r="F18" s="214" t="s">
        <v>212</v>
      </c>
      <c r="G18" s="150"/>
      <c r="H18" s="151"/>
      <c r="I18" s="155">
        <f>ROUND((I16+I17+I22),0)</f>
        <v>7945712</v>
      </c>
      <c r="J18" s="152">
        <v>1</v>
      </c>
      <c r="K18" s="102" t="s">
        <v>211</v>
      </c>
      <c r="L18" s="150"/>
      <c r="M18" s="150"/>
      <c r="N18" s="150"/>
      <c r="O18" s="150"/>
      <c r="P18" s="150"/>
      <c r="Q18" s="150"/>
      <c r="R18" s="151"/>
      <c r="S18" s="157" t="s">
        <v>148</v>
      </c>
      <c r="T18" s="159" t="s">
        <v>124</v>
      </c>
      <c r="U18" s="160"/>
      <c r="V18" s="160"/>
      <c r="W18" s="163">
        <f t="shared" si="0"/>
        <v>247777</v>
      </c>
      <c r="X18" s="186">
        <f>ROUND(I31,0)</f>
        <v>247777</v>
      </c>
      <c r="Y18" s="168">
        <v>0</v>
      </c>
      <c r="Z18" s="163">
        <v>0</v>
      </c>
      <c r="AA18" s="168">
        <v>0</v>
      </c>
      <c r="AB18" s="158" t="s">
        <v>147</v>
      </c>
      <c r="AC18" s="148" t="s">
        <v>156</v>
      </c>
      <c r="AD18" s="148"/>
      <c r="AE18" s="148"/>
      <c r="AF18" s="164">
        <f>AG18+AH18+AI18+AJ18</f>
        <v>3430</v>
      </c>
      <c r="AG18" s="169">
        <v>0</v>
      </c>
      <c r="AH18" s="169">
        <v>0</v>
      </c>
      <c r="AI18" s="164">
        <v>3430</v>
      </c>
      <c r="AJ18" s="318">
        <v>0</v>
      </c>
      <c r="AK18" s="157" t="s">
        <v>147</v>
      </c>
      <c r="AL18" s="159" t="s">
        <v>135</v>
      </c>
      <c r="AM18" s="160"/>
      <c r="AN18" s="161"/>
      <c r="AO18" s="163">
        <f>AP18+AQ18+AR18+AS18</f>
        <v>40929</v>
      </c>
      <c r="AP18" s="168">
        <v>0</v>
      </c>
      <c r="AQ18" s="168">
        <v>0</v>
      </c>
      <c r="AR18" s="163">
        <v>40929</v>
      </c>
      <c r="AS18" s="168">
        <v>0</v>
      </c>
      <c r="AT18" s="146" t="s">
        <v>142</v>
      </c>
      <c r="AU18" s="146"/>
      <c r="AV18" s="146"/>
      <c r="AW18" s="146"/>
      <c r="AX18" s="146"/>
      <c r="AY18" s="147"/>
      <c r="AZ18" s="280">
        <f>R22</f>
        <v>100</v>
      </c>
      <c r="BA18" s="290">
        <v>1.35</v>
      </c>
      <c r="BB18" s="284">
        <f>AZ18*BA18</f>
        <v>135</v>
      </c>
    </row>
    <row r="19" spans="1:54" ht="12.75">
      <c r="A19" s="96" t="s">
        <v>213</v>
      </c>
      <c r="B19" s="102" t="s">
        <v>466</v>
      </c>
      <c r="C19" s="150"/>
      <c r="D19" s="150"/>
      <c r="E19" s="150"/>
      <c r="F19" s="150"/>
      <c r="G19" s="150"/>
      <c r="H19" s="150"/>
      <c r="I19" s="151"/>
      <c r="J19" s="171" t="s">
        <v>213</v>
      </c>
      <c r="K19" s="143" t="s">
        <v>290</v>
      </c>
      <c r="L19" s="171">
        <v>16654</v>
      </c>
      <c r="M19" s="234">
        <v>5358</v>
      </c>
      <c r="N19" s="234">
        <v>5365</v>
      </c>
      <c r="O19" s="171">
        <v>1</v>
      </c>
      <c r="P19" s="258">
        <f>N19-M19</f>
        <v>7</v>
      </c>
      <c r="Q19" s="259"/>
      <c r="R19" s="175">
        <f>O19*P19+Q19</f>
        <v>7</v>
      </c>
      <c r="S19" s="157" t="s">
        <v>153</v>
      </c>
      <c r="T19" s="159" t="s">
        <v>125</v>
      </c>
      <c r="U19" s="160"/>
      <c r="V19" s="160"/>
      <c r="W19" s="163">
        <f t="shared" si="0"/>
        <v>0</v>
      </c>
      <c r="X19" s="186">
        <f>ROUND(I33,0)</f>
        <v>0</v>
      </c>
      <c r="Y19" s="168">
        <v>0</v>
      </c>
      <c r="Z19" s="168">
        <v>0</v>
      </c>
      <c r="AA19" s="168">
        <v>0</v>
      </c>
      <c r="AB19" s="179"/>
      <c r="AC19" s="160"/>
      <c r="AD19" s="160"/>
      <c r="AE19" s="160"/>
      <c r="AF19" s="180"/>
      <c r="AG19" s="181"/>
      <c r="AH19" s="181"/>
      <c r="AI19" s="180"/>
      <c r="AJ19" s="181"/>
      <c r="AK19" s="157" t="s">
        <v>148</v>
      </c>
      <c r="AL19" s="159" t="s">
        <v>158</v>
      </c>
      <c r="AM19" s="160"/>
      <c r="AN19" s="161"/>
      <c r="AO19" s="163">
        <f>AP19+AQ19+AR19+AS19</f>
        <v>367</v>
      </c>
      <c r="AP19" s="163">
        <v>0</v>
      </c>
      <c r="AQ19" s="168">
        <v>0</v>
      </c>
      <c r="AR19" s="163">
        <v>367</v>
      </c>
      <c r="AS19" s="168">
        <v>0</v>
      </c>
      <c r="AT19" s="146" t="s">
        <v>182</v>
      </c>
      <c r="AU19" s="146"/>
      <c r="AV19" s="146"/>
      <c r="AW19" s="146"/>
      <c r="AX19" s="146"/>
      <c r="AY19" s="147"/>
      <c r="AZ19" s="291">
        <f>R19+R20</f>
        <v>7</v>
      </c>
      <c r="BA19" s="285">
        <v>6.34905</v>
      </c>
      <c r="BB19" s="284">
        <f>AZ19*BA19</f>
        <v>44.44335</v>
      </c>
    </row>
    <row r="20" spans="1:54" ht="12.75">
      <c r="A20" s="96" t="s">
        <v>215</v>
      </c>
      <c r="B20" s="96" t="s">
        <v>216</v>
      </c>
      <c r="C20" s="213">
        <v>109053225</v>
      </c>
      <c r="D20" s="230">
        <v>18673.4542</v>
      </c>
      <c r="E20" s="230">
        <v>18786.2392</v>
      </c>
      <c r="F20" s="155">
        <v>21000</v>
      </c>
      <c r="G20" s="252">
        <f>E20-D20</f>
        <v>112.78499999999985</v>
      </c>
      <c r="H20" s="96"/>
      <c r="I20" s="155">
        <f>ROUND((F20*G20+H20),0)</f>
        <v>2368485</v>
      </c>
      <c r="J20" s="144"/>
      <c r="K20" s="144" t="s">
        <v>291</v>
      </c>
      <c r="L20" s="144"/>
      <c r="M20" s="144"/>
      <c r="N20" s="144"/>
      <c r="O20" s="144"/>
      <c r="P20" s="185"/>
      <c r="Q20" s="260"/>
      <c r="R20" s="276"/>
      <c r="S20" s="157" t="s">
        <v>157</v>
      </c>
      <c r="T20" s="159" t="s">
        <v>126</v>
      </c>
      <c r="U20" s="160"/>
      <c r="V20" s="160"/>
      <c r="W20" s="163">
        <f t="shared" si="0"/>
        <v>304230</v>
      </c>
      <c r="X20" s="186">
        <f>ROUND(I35,0)</f>
        <v>304230</v>
      </c>
      <c r="Y20" s="168">
        <v>0</v>
      </c>
      <c r="Z20" s="163">
        <v>0</v>
      </c>
      <c r="AA20" s="168">
        <v>0</v>
      </c>
      <c r="AB20" s="179"/>
      <c r="AC20" s="160"/>
      <c r="AD20" s="160"/>
      <c r="AE20" s="160"/>
      <c r="AF20" s="180"/>
      <c r="AG20" s="180"/>
      <c r="AH20" s="181"/>
      <c r="AI20" s="180"/>
      <c r="AJ20" s="181"/>
      <c r="AK20" s="158" t="s">
        <v>153</v>
      </c>
      <c r="AL20" s="103" t="s">
        <v>544</v>
      </c>
      <c r="AM20" s="148"/>
      <c r="AN20" s="149"/>
      <c r="AO20" s="164">
        <f>AP20+AQ20+AR20+AS20</f>
        <v>12001</v>
      </c>
      <c r="AP20" s="164"/>
      <c r="AQ20" s="169"/>
      <c r="AR20" s="164">
        <v>12001</v>
      </c>
      <c r="AS20" s="169"/>
      <c r="AT20" s="146" t="s">
        <v>416</v>
      </c>
      <c r="AU20" s="146"/>
      <c r="AV20" s="146"/>
      <c r="AW20" s="146"/>
      <c r="AX20" s="146"/>
      <c r="AY20" s="147"/>
      <c r="AZ20" s="280"/>
      <c r="BA20" s="290"/>
      <c r="BB20" s="279"/>
    </row>
    <row r="21" spans="1:54" ht="12.75">
      <c r="A21" s="96" t="s">
        <v>521</v>
      </c>
      <c r="B21" s="150" t="s">
        <v>524</v>
      </c>
      <c r="C21" s="148"/>
      <c r="D21" s="150"/>
      <c r="E21" s="150"/>
      <c r="F21" s="214"/>
      <c r="G21" s="150"/>
      <c r="H21" s="151"/>
      <c r="I21" s="155"/>
      <c r="J21" s="143" t="s">
        <v>219</v>
      </c>
      <c r="K21" s="143" t="s">
        <v>293</v>
      </c>
      <c r="L21" s="377">
        <v>122848480</v>
      </c>
      <c r="M21" s="376">
        <v>476</v>
      </c>
      <c r="N21" s="376">
        <v>500</v>
      </c>
      <c r="O21" s="152">
        <v>20</v>
      </c>
      <c r="P21" s="375">
        <f>N21-M21</f>
        <v>24</v>
      </c>
      <c r="Q21" s="261"/>
      <c r="R21" s="155">
        <f>O21*P21+Q21</f>
        <v>480</v>
      </c>
      <c r="S21" s="157" t="s">
        <v>161</v>
      </c>
      <c r="T21" s="159" t="s">
        <v>127</v>
      </c>
      <c r="U21" s="160"/>
      <c r="V21" s="160"/>
      <c r="W21" s="163">
        <f t="shared" si="0"/>
        <v>123450</v>
      </c>
      <c r="X21" s="186">
        <f>ROUND(I37,0)</f>
        <v>123450</v>
      </c>
      <c r="Y21" s="168">
        <v>0</v>
      </c>
      <c r="Z21" s="163">
        <v>0</v>
      </c>
      <c r="AA21" s="168">
        <v>0</v>
      </c>
      <c r="AB21" s="179"/>
      <c r="AC21" s="160"/>
      <c r="AD21" s="160"/>
      <c r="AE21" s="160"/>
      <c r="AF21" s="180"/>
      <c r="AG21" s="180"/>
      <c r="AH21" s="181"/>
      <c r="AI21" s="180"/>
      <c r="AJ21" s="181"/>
      <c r="AK21" s="179"/>
      <c r="AL21" s="160"/>
      <c r="AM21" s="160"/>
      <c r="AN21" s="160"/>
      <c r="AO21" s="180"/>
      <c r="AP21" s="181"/>
      <c r="AQ21" s="182"/>
      <c r="AR21" s="180"/>
      <c r="AS21" s="181"/>
      <c r="AT21" s="102"/>
      <c r="AU21" s="146"/>
      <c r="AV21" s="146"/>
      <c r="AW21" s="146"/>
      <c r="AX21" s="146"/>
      <c r="AY21" s="147"/>
      <c r="AZ21" s="280"/>
      <c r="BA21" s="290"/>
      <c r="BB21" s="279"/>
    </row>
    <row r="22" spans="1:54" ht="12.75">
      <c r="A22" s="96" t="s">
        <v>522</v>
      </c>
      <c r="B22" s="102" t="s">
        <v>525</v>
      </c>
      <c r="C22" s="150"/>
      <c r="D22" s="150"/>
      <c r="E22" s="150"/>
      <c r="F22" s="150"/>
      <c r="G22" s="150"/>
      <c r="H22" s="151"/>
      <c r="I22" s="280">
        <v>70733</v>
      </c>
      <c r="J22" s="144"/>
      <c r="K22" s="144" t="s">
        <v>292</v>
      </c>
      <c r="L22" s="377">
        <v>122848480</v>
      </c>
      <c r="M22" s="376">
        <v>131</v>
      </c>
      <c r="N22" s="376">
        <v>136</v>
      </c>
      <c r="O22" s="152">
        <v>20</v>
      </c>
      <c r="P22" s="375">
        <f>N22-M22</f>
        <v>5</v>
      </c>
      <c r="Q22" s="261"/>
      <c r="R22" s="155">
        <f>O22*P22+Q22</f>
        <v>100</v>
      </c>
      <c r="S22" s="157" t="s">
        <v>162</v>
      </c>
      <c r="T22" s="159" t="s">
        <v>128</v>
      </c>
      <c r="U22" s="160"/>
      <c r="V22" s="160"/>
      <c r="W22" s="163">
        <f t="shared" si="0"/>
        <v>284741</v>
      </c>
      <c r="X22" s="186">
        <f>ROUND(I39,0)</f>
        <v>284741</v>
      </c>
      <c r="Y22" s="168">
        <v>0</v>
      </c>
      <c r="Z22" s="168">
        <v>0</v>
      </c>
      <c r="AA22" s="168">
        <v>0</v>
      </c>
      <c r="AB22" s="179"/>
      <c r="AC22" s="160"/>
      <c r="AD22" s="160"/>
      <c r="AE22" s="160"/>
      <c r="AF22" s="180"/>
      <c r="AG22" s="181"/>
      <c r="AH22" s="181"/>
      <c r="AI22" s="180"/>
      <c r="AJ22" s="181"/>
      <c r="AK22" s="179"/>
      <c r="AL22" s="160"/>
      <c r="AM22" s="160"/>
      <c r="AN22" s="160"/>
      <c r="AO22" s="180"/>
      <c r="AP22" s="181"/>
      <c r="AQ22" s="182"/>
      <c r="AR22" s="180"/>
      <c r="AS22" s="181"/>
      <c r="AT22" s="255" t="s">
        <v>22</v>
      </c>
      <c r="AU22" s="256"/>
      <c r="AV22" s="256"/>
      <c r="AW22" s="256"/>
      <c r="AX22" s="146"/>
      <c r="AY22" s="147"/>
      <c r="AZ22" s="280"/>
      <c r="BA22" s="293"/>
      <c r="BB22" s="294"/>
    </row>
    <row r="23" spans="1:54" ht="12.75">
      <c r="A23" s="102"/>
      <c r="B23" s="102"/>
      <c r="C23" s="371"/>
      <c r="D23" s="372"/>
      <c r="E23" s="372"/>
      <c r="F23" s="373"/>
      <c r="G23" s="374"/>
      <c r="H23" s="151"/>
      <c r="I23" s="280"/>
      <c r="J23" s="102"/>
      <c r="K23" s="245"/>
      <c r="L23" s="245"/>
      <c r="M23" s="245"/>
      <c r="N23" s="245"/>
      <c r="O23" s="245"/>
      <c r="P23" s="246" t="s">
        <v>274</v>
      </c>
      <c r="Q23" s="247"/>
      <c r="R23" s="155">
        <f>R19+R21+R22+R20</f>
        <v>587</v>
      </c>
      <c r="S23" s="157" t="s">
        <v>163</v>
      </c>
      <c r="T23" s="159" t="s">
        <v>129</v>
      </c>
      <c r="U23" s="160"/>
      <c r="V23" s="160"/>
      <c r="W23" s="163">
        <f t="shared" si="0"/>
        <v>368712</v>
      </c>
      <c r="X23" s="186">
        <v>0</v>
      </c>
      <c r="Y23" s="168">
        <v>0</v>
      </c>
      <c r="Z23" s="163">
        <f>I26+I25</f>
        <v>368712</v>
      </c>
      <c r="AA23" s="168">
        <v>0</v>
      </c>
      <c r="AB23" s="179"/>
      <c r="AC23" s="160"/>
      <c r="AD23" s="160"/>
      <c r="AE23" s="160"/>
      <c r="AF23" s="180"/>
      <c r="AG23" s="181"/>
      <c r="AH23" s="182"/>
      <c r="AI23" s="180"/>
      <c r="AJ23" s="181"/>
      <c r="AK23" s="179"/>
      <c r="AL23" s="160"/>
      <c r="AM23" s="160"/>
      <c r="AN23" s="160"/>
      <c r="AO23" s="180"/>
      <c r="AP23" s="181"/>
      <c r="AQ23" s="182"/>
      <c r="AR23" s="180"/>
      <c r="AS23" s="181"/>
      <c r="AT23" s="145" t="s">
        <v>23</v>
      </c>
      <c r="AU23" s="146"/>
      <c r="AV23" s="146"/>
      <c r="AW23" s="146"/>
      <c r="AX23" s="146"/>
      <c r="AY23" s="147"/>
      <c r="AZ23" s="280"/>
      <c r="BA23" s="293"/>
      <c r="BB23" s="279"/>
    </row>
    <row r="24" spans="1:54" ht="12.75">
      <c r="A24" s="96" t="s">
        <v>219</v>
      </c>
      <c r="B24" s="103" t="s">
        <v>220</v>
      </c>
      <c r="C24" s="148"/>
      <c r="D24" s="148"/>
      <c r="E24" s="148"/>
      <c r="F24" s="148"/>
      <c r="G24" s="148"/>
      <c r="H24" s="148"/>
      <c r="I24" s="151"/>
      <c r="J24" s="145"/>
      <c r="K24" s="146"/>
      <c r="L24" s="146"/>
      <c r="M24" s="146"/>
      <c r="N24" s="146"/>
      <c r="O24" s="146"/>
      <c r="P24" s="248"/>
      <c r="Q24" s="249"/>
      <c r="R24" s="250"/>
      <c r="S24" s="157" t="s">
        <v>164</v>
      </c>
      <c r="T24" s="160" t="s">
        <v>130</v>
      </c>
      <c r="U24" s="160"/>
      <c r="V24" s="160"/>
      <c r="W24" s="163">
        <f t="shared" si="0"/>
        <v>33504</v>
      </c>
      <c r="X24" s="186">
        <v>0</v>
      </c>
      <c r="Y24" s="168">
        <v>0</v>
      </c>
      <c r="Z24" s="163">
        <f>I41</f>
        <v>33504</v>
      </c>
      <c r="AA24" s="168">
        <v>0</v>
      </c>
      <c r="AB24" s="153"/>
      <c r="AC24" s="120" t="s">
        <v>189</v>
      </c>
      <c r="AD24" s="120"/>
      <c r="AE24" s="120"/>
      <c r="AF24" s="154"/>
      <c r="AG24" s="154"/>
      <c r="AH24" s="154"/>
      <c r="AI24" s="154"/>
      <c r="AJ24" s="154"/>
      <c r="AK24" s="153"/>
      <c r="AL24" s="120" t="s">
        <v>278</v>
      </c>
      <c r="AM24" s="120"/>
      <c r="AN24" s="120"/>
      <c r="AO24" s="154"/>
      <c r="AP24" s="154"/>
      <c r="AQ24" s="154"/>
      <c r="AR24" s="154"/>
      <c r="AS24" s="154"/>
      <c r="AT24" s="262" t="s">
        <v>139</v>
      </c>
      <c r="AU24" s="245"/>
      <c r="AV24" s="245"/>
      <c r="AW24" s="245"/>
      <c r="AX24" s="245"/>
      <c r="AY24" s="263"/>
      <c r="AZ24" s="295"/>
      <c r="BA24" s="287"/>
      <c r="BB24" s="284"/>
    </row>
    <row r="25" spans="1:54" ht="12.75">
      <c r="A25" s="143" t="s">
        <v>221</v>
      </c>
      <c r="B25" s="143" t="s">
        <v>224</v>
      </c>
      <c r="C25" s="197"/>
      <c r="D25" s="323"/>
      <c r="E25" s="323"/>
      <c r="F25" s="164"/>
      <c r="G25" s="324"/>
      <c r="H25" s="164"/>
      <c r="I25" s="164"/>
      <c r="J25" s="159" t="s">
        <v>275</v>
      </c>
      <c r="K25" s="160"/>
      <c r="L25" s="160"/>
      <c r="M25" s="160"/>
      <c r="N25" s="160"/>
      <c r="O25" s="160"/>
      <c r="P25" s="190"/>
      <c r="Q25" s="238"/>
      <c r="R25" s="251"/>
      <c r="S25" s="157" t="s">
        <v>165</v>
      </c>
      <c r="T25" s="160" t="s">
        <v>131</v>
      </c>
      <c r="U25" s="160"/>
      <c r="V25" s="160"/>
      <c r="W25" s="163">
        <f t="shared" si="0"/>
        <v>86288</v>
      </c>
      <c r="X25" s="186">
        <v>0</v>
      </c>
      <c r="Y25" s="168">
        <v>0</v>
      </c>
      <c r="Z25" s="163">
        <f>I43</f>
        <v>86288</v>
      </c>
      <c r="AA25" s="168">
        <v>0</v>
      </c>
      <c r="AB25" s="153"/>
      <c r="AC25" s="120" t="s">
        <v>533</v>
      </c>
      <c r="AD25" s="120"/>
      <c r="AE25" s="120"/>
      <c r="AF25" s="120"/>
      <c r="AG25" s="120"/>
      <c r="AH25" s="120"/>
      <c r="AI25" s="120"/>
      <c r="AJ25" s="120"/>
      <c r="AK25" s="153"/>
      <c r="AL25" s="120" t="s">
        <v>533</v>
      </c>
      <c r="AM25" s="120"/>
      <c r="AN25" s="120"/>
      <c r="AO25" s="120"/>
      <c r="AP25" s="120"/>
      <c r="AQ25" s="120"/>
      <c r="AR25" s="120"/>
      <c r="AS25" s="120"/>
      <c r="AT25" s="103" t="s">
        <v>183</v>
      </c>
      <c r="AU25" s="148"/>
      <c r="AV25" s="148"/>
      <c r="AW25" s="148"/>
      <c r="AX25" s="148"/>
      <c r="AY25" s="149"/>
      <c r="AZ25" s="296">
        <v>7.91</v>
      </c>
      <c r="BA25" s="297">
        <v>35268</v>
      </c>
      <c r="BB25" s="284">
        <f>AZ25*BA25</f>
        <v>278969.88</v>
      </c>
    </row>
    <row r="26" spans="1:54" ht="12.75">
      <c r="A26" s="144"/>
      <c r="B26" s="144" t="s">
        <v>222</v>
      </c>
      <c r="C26" s="198">
        <v>109056121</v>
      </c>
      <c r="D26" s="323">
        <v>21145.3307</v>
      </c>
      <c r="E26" s="323">
        <v>21222.1458</v>
      </c>
      <c r="F26" s="164">
        <v>4800</v>
      </c>
      <c r="G26" s="324">
        <f aca="true" t="shared" si="1" ref="G26:G43">E26-D26</f>
        <v>76.8150999999998</v>
      </c>
      <c r="H26" s="164"/>
      <c r="I26" s="164">
        <f>ROUND(F26*G26+H26,0)</f>
        <v>368712</v>
      </c>
      <c r="J26" s="222" t="s">
        <v>548</v>
      </c>
      <c r="K26" s="223"/>
      <c r="L26" s="223"/>
      <c r="M26" s="191"/>
      <c r="N26" s="148"/>
      <c r="O26" s="148"/>
      <c r="P26" s="148"/>
      <c r="Q26" s="148"/>
      <c r="R26" s="209"/>
      <c r="S26" s="158" t="s">
        <v>166</v>
      </c>
      <c r="T26" s="148" t="s">
        <v>132</v>
      </c>
      <c r="U26" s="148"/>
      <c r="V26" s="148"/>
      <c r="W26" s="164">
        <f>SUM(X26:AA26)</f>
        <v>12852</v>
      </c>
      <c r="X26" s="187">
        <v>0</v>
      </c>
      <c r="Y26" s="169">
        <v>0</v>
      </c>
      <c r="Z26" s="164">
        <f>I45+I46</f>
        <v>12852</v>
      </c>
      <c r="AA26" s="169">
        <v>0</v>
      </c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02" t="s">
        <v>184</v>
      </c>
      <c r="AU26" s="150"/>
      <c r="AV26" s="150"/>
      <c r="AW26" s="150"/>
      <c r="AX26" s="160"/>
      <c r="AY26" s="161"/>
      <c r="AZ26" s="296">
        <f>(X14+AG14+AP14)/1000</f>
        <v>3782.83</v>
      </c>
      <c r="BA26" s="279">
        <v>17</v>
      </c>
      <c r="BB26" s="284">
        <f>AZ26*BA26</f>
        <v>64308.11</v>
      </c>
    </row>
    <row r="27" spans="1:54" ht="12.75">
      <c r="A27" s="143" t="s">
        <v>223</v>
      </c>
      <c r="B27" s="143" t="s">
        <v>235</v>
      </c>
      <c r="C27" s="197">
        <v>623125232</v>
      </c>
      <c r="D27" s="325">
        <v>9240.7087</v>
      </c>
      <c r="E27" s="325">
        <v>9240.7087</v>
      </c>
      <c r="F27" s="175">
        <v>1800</v>
      </c>
      <c r="G27" s="326">
        <f t="shared" si="1"/>
        <v>0</v>
      </c>
      <c r="H27" s="171"/>
      <c r="I27" s="175">
        <f>ROUND(G27*F27,0)</f>
        <v>0</v>
      </c>
      <c r="J27" s="120"/>
      <c r="K27" s="160"/>
      <c r="L27" s="160"/>
      <c r="M27" s="160"/>
      <c r="N27" s="160"/>
      <c r="O27" s="160"/>
      <c r="P27" s="190"/>
      <c r="Q27" s="238"/>
      <c r="R27" s="237"/>
      <c r="S27" s="179"/>
      <c r="T27" s="160"/>
      <c r="U27" s="160"/>
      <c r="V27" s="160"/>
      <c r="W27" s="180"/>
      <c r="X27" s="180"/>
      <c r="Y27" s="181"/>
      <c r="Z27" s="180"/>
      <c r="AA27" s="181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03" t="s">
        <v>185</v>
      </c>
      <c r="AU27" s="148"/>
      <c r="AV27" s="148"/>
      <c r="AW27" s="148"/>
      <c r="AX27" s="146"/>
      <c r="AY27" s="147"/>
      <c r="AZ27" s="296">
        <v>2.26</v>
      </c>
      <c r="BA27" s="279">
        <v>35268</v>
      </c>
      <c r="BB27" s="279">
        <f>AZ27*BA27</f>
        <v>79705.68</v>
      </c>
    </row>
    <row r="28" spans="1:54" ht="12.75">
      <c r="A28" s="144"/>
      <c r="B28" s="144" t="s">
        <v>222</v>
      </c>
      <c r="C28" s="169"/>
      <c r="D28" s="228"/>
      <c r="E28" s="228"/>
      <c r="F28" s="164"/>
      <c r="G28" s="227"/>
      <c r="H28" s="169"/>
      <c r="I28" s="164"/>
      <c r="J28" s="160" t="s">
        <v>279</v>
      </c>
      <c r="K28" s="160"/>
      <c r="L28" s="264"/>
      <c r="M28" s="181"/>
      <c r="N28" s="265"/>
      <c r="O28" s="265"/>
      <c r="P28" s="188"/>
      <c r="Q28" s="160"/>
      <c r="R28" s="190"/>
      <c r="S28" s="120"/>
      <c r="T28" s="120"/>
      <c r="U28" s="120"/>
      <c r="V28" s="120"/>
      <c r="W28" s="120"/>
      <c r="X28" s="120"/>
      <c r="Y28" s="120"/>
      <c r="Z28" s="120"/>
      <c r="AA28" s="120"/>
      <c r="AB28" s="120" t="s">
        <v>447</v>
      </c>
      <c r="AC28" s="120"/>
      <c r="AD28" s="120"/>
      <c r="AE28" s="120"/>
      <c r="AF28" s="120"/>
      <c r="AG28" s="120" t="s">
        <v>450</v>
      </c>
      <c r="AH28" s="120"/>
      <c r="AI28" s="120" t="s">
        <v>451</v>
      </c>
      <c r="AJ28" s="120"/>
      <c r="AK28" s="120" t="s">
        <v>447</v>
      </c>
      <c r="AL28" s="120"/>
      <c r="AM28" s="120"/>
      <c r="AN28" s="120"/>
      <c r="AO28" s="120"/>
      <c r="AP28" s="120" t="s">
        <v>151</v>
      </c>
      <c r="AQ28" s="120"/>
      <c r="AR28" s="120" t="s">
        <v>152</v>
      </c>
      <c r="AS28" s="120"/>
      <c r="AT28" s="159" t="s">
        <v>186</v>
      </c>
      <c r="AU28" s="160"/>
      <c r="AV28" s="160"/>
      <c r="AW28" s="160"/>
      <c r="AX28" s="146"/>
      <c r="AY28" s="147"/>
      <c r="AZ28" s="296">
        <f>(Z14+AI14+AR14)/1000</f>
        <v>565.746</v>
      </c>
      <c r="BA28" s="279">
        <v>17</v>
      </c>
      <c r="BB28" s="284">
        <f>AZ28*BA28</f>
        <v>9617.681999999999</v>
      </c>
    </row>
    <row r="29" spans="1:54" ht="12.75">
      <c r="A29" s="143" t="s">
        <v>225</v>
      </c>
      <c r="B29" s="143" t="s">
        <v>236</v>
      </c>
      <c r="C29" s="197">
        <v>623125667</v>
      </c>
      <c r="D29" s="325">
        <v>10368.3855</v>
      </c>
      <c r="E29" s="325">
        <v>10539.1223</v>
      </c>
      <c r="F29" s="175">
        <v>1800</v>
      </c>
      <c r="G29" s="326">
        <f t="shared" si="1"/>
        <v>170.73680000000058</v>
      </c>
      <c r="H29" s="171"/>
      <c r="I29" s="175">
        <f>ROUND(G29*F29,0)</f>
        <v>307326</v>
      </c>
      <c r="J29" s="160"/>
      <c r="K29" s="160"/>
      <c r="L29" s="181"/>
      <c r="M29" s="181"/>
      <c r="N29" s="188"/>
      <c r="O29" s="188"/>
      <c r="P29" s="188"/>
      <c r="Q29" s="160"/>
      <c r="R29" s="190"/>
      <c r="S29" s="120"/>
      <c r="T29" s="120"/>
      <c r="U29" s="120"/>
      <c r="V29" s="120"/>
      <c r="W29" s="120"/>
      <c r="X29" s="120"/>
      <c r="Y29" s="120"/>
      <c r="Z29" s="120"/>
      <c r="AA29" s="120"/>
      <c r="AB29" s="120" t="s">
        <v>527</v>
      </c>
      <c r="AC29" s="120"/>
      <c r="AD29" s="120"/>
      <c r="AE29" s="120"/>
      <c r="AF29" s="120"/>
      <c r="AG29" s="120" t="s">
        <v>150</v>
      </c>
      <c r="AH29" s="120"/>
      <c r="AI29" s="120"/>
      <c r="AJ29" s="120"/>
      <c r="AK29" s="120" t="s">
        <v>527</v>
      </c>
      <c r="AL29" s="120"/>
      <c r="AM29" s="120"/>
      <c r="AN29" s="120"/>
      <c r="AO29" s="120"/>
      <c r="AP29" s="120" t="s">
        <v>150</v>
      </c>
      <c r="AQ29" s="120"/>
      <c r="AR29" s="120"/>
      <c r="AS29" s="120"/>
      <c r="AT29" s="145"/>
      <c r="AU29" s="146"/>
      <c r="AV29" s="146"/>
      <c r="AW29" s="146"/>
      <c r="AX29" s="146"/>
      <c r="AY29" s="147"/>
      <c r="AZ29" s="280"/>
      <c r="BA29" s="287"/>
      <c r="BB29" s="284"/>
    </row>
    <row r="30" spans="1:54" ht="12.75">
      <c r="A30" s="144"/>
      <c r="B30" s="144" t="s">
        <v>222</v>
      </c>
      <c r="C30" s="169"/>
      <c r="D30" s="228"/>
      <c r="E30" s="228"/>
      <c r="F30" s="164"/>
      <c r="G30" s="227"/>
      <c r="H30" s="169"/>
      <c r="I30" s="164"/>
      <c r="J30" s="160"/>
      <c r="K30" s="160"/>
      <c r="L30" s="181"/>
      <c r="M30" s="181"/>
      <c r="N30" s="188"/>
      <c r="O30" s="188"/>
      <c r="P30" s="188"/>
      <c r="Q30" s="160"/>
      <c r="R30" s="19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45"/>
      <c r="AU30" s="146"/>
      <c r="AV30" s="146"/>
      <c r="AW30" s="146"/>
      <c r="AX30" s="146"/>
      <c r="AY30" s="147"/>
      <c r="AZ30" s="280"/>
      <c r="BA30" s="287"/>
      <c r="BB30" s="284"/>
    </row>
    <row r="31" spans="1:54" ht="12.75">
      <c r="A31" s="143" t="s">
        <v>226</v>
      </c>
      <c r="B31" s="143" t="s">
        <v>237</v>
      </c>
      <c r="C31" s="197">
        <v>623126370</v>
      </c>
      <c r="D31" s="325">
        <v>2791.3367</v>
      </c>
      <c r="E31" s="325">
        <v>2842.957</v>
      </c>
      <c r="F31" s="175">
        <v>4800</v>
      </c>
      <c r="G31" s="326">
        <f t="shared" si="1"/>
        <v>51.62030000000004</v>
      </c>
      <c r="H31" s="171"/>
      <c r="I31" s="175">
        <f>ROUND(G31*F31,0)</f>
        <v>247777</v>
      </c>
      <c r="J31" s="160"/>
      <c r="K31" s="160"/>
      <c r="L31" s="264"/>
      <c r="M31" s="181"/>
      <c r="N31" s="265" t="s">
        <v>280</v>
      </c>
      <c r="O31" s="265"/>
      <c r="P31" s="188"/>
      <c r="Q31" s="160"/>
      <c r="R31" s="190"/>
      <c r="S31" s="120" t="s">
        <v>447</v>
      </c>
      <c r="T31" s="120"/>
      <c r="U31" s="120"/>
      <c r="V31" s="120"/>
      <c r="W31" s="120"/>
      <c r="X31" s="120" t="s">
        <v>450</v>
      </c>
      <c r="Y31" s="120"/>
      <c r="Z31" s="120" t="s">
        <v>451</v>
      </c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45"/>
      <c r="AU31" s="146"/>
      <c r="AV31" s="146"/>
      <c r="AW31" s="146"/>
      <c r="AX31" s="146"/>
      <c r="AY31" s="147"/>
      <c r="AZ31" s="280"/>
      <c r="BA31" s="287"/>
      <c r="BB31" s="284"/>
    </row>
    <row r="32" spans="1:54" ht="12.75">
      <c r="A32" s="144"/>
      <c r="B32" s="144" t="s">
        <v>222</v>
      </c>
      <c r="C32" s="169"/>
      <c r="D32" s="228"/>
      <c r="E32" s="228"/>
      <c r="F32" s="164"/>
      <c r="G32" s="227"/>
      <c r="H32" s="169"/>
      <c r="I32" s="164"/>
      <c r="J32" s="160"/>
      <c r="K32" s="160"/>
      <c r="L32" s="181"/>
      <c r="M32" s="181"/>
      <c r="N32" s="265" t="s">
        <v>529</v>
      </c>
      <c r="O32" s="265"/>
      <c r="P32" s="188"/>
      <c r="Q32" s="160"/>
      <c r="R32" s="190"/>
      <c r="S32" s="120" t="s">
        <v>527</v>
      </c>
      <c r="T32" s="120"/>
      <c r="U32" s="120"/>
      <c r="V32" s="120"/>
      <c r="W32" s="120"/>
      <c r="X32" s="120" t="s">
        <v>150</v>
      </c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45" t="s">
        <v>432</v>
      </c>
      <c r="AU32" s="146"/>
      <c r="AV32" s="146"/>
      <c r="AW32" s="146"/>
      <c r="AX32" s="146"/>
      <c r="AY32" s="147"/>
      <c r="AZ32" s="280"/>
      <c r="BA32" s="298"/>
      <c r="BB32" s="279"/>
    </row>
    <row r="33" spans="1:54" ht="12.75">
      <c r="A33" s="143" t="s">
        <v>227</v>
      </c>
      <c r="B33" s="143" t="s">
        <v>238</v>
      </c>
      <c r="C33" s="197">
        <v>623125137</v>
      </c>
      <c r="D33" s="325">
        <v>2202.7089</v>
      </c>
      <c r="E33" s="325">
        <v>2202.7089</v>
      </c>
      <c r="F33" s="175">
        <v>4800</v>
      </c>
      <c r="G33" s="326">
        <f t="shared" si="1"/>
        <v>0</v>
      </c>
      <c r="H33" s="171"/>
      <c r="I33" s="175">
        <f>ROUND(G33*F33,0)</f>
        <v>0</v>
      </c>
      <c r="J33" s="160"/>
      <c r="K33" s="160"/>
      <c r="L33" s="264"/>
      <c r="M33" s="181"/>
      <c r="N33" s="265" t="s">
        <v>563</v>
      </c>
      <c r="O33" s="265"/>
      <c r="P33" s="188"/>
      <c r="Q33" s="160"/>
      <c r="R33" s="190"/>
      <c r="S33" s="120"/>
      <c r="T33" s="120"/>
      <c r="U33" s="120"/>
      <c r="V33" s="120"/>
      <c r="W33" s="120"/>
      <c r="X33" s="120"/>
      <c r="Y33" s="120"/>
      <c r="Z33" s="120"/>
      <c r="AA33" s="120"/>
      <c r="AB33" s="120" t="s">
        <v>149</v>
      </c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45" t="s">
        <v>430</v>
      </c>
      <c r="AU33" s="146"/>
      <c r="AV33" s="146"/>
      <c r="AW33" s="146"/>
      <c r="AX33" s="146"/>
      <c r="AY33" s="147"/>
      <c r="AZ33" s="280"/>
      <c r="BA33" s="287"/>
      <c r="BB33" s="279"/>
    </row>
    <row r="34" spans="1:54" ht="12.75">
      <c r="A34" s="144"/>
      <c r="B34" s="144" t="s">
        <v>222</v>
      </c>
      <c r="C34" s="169"/>
      <c r="D34" s="228"/>
      <c r="E34" s="228"/>
      <c r="F34" s="164"/>
      <c r="G34" s="227"/>
      <c r="H34" s="169"/>
      <c r="I34" s="164"/>
      <c r="J34" s="160"/>
      <c r="K34" s="160"/>
      <c r="L34" s="181"/>
      <c r="M34" s="181"/>
      <c r="N34" s="265"/>
      <c r="O34" s="265"/>
      <c r="P34" s="188"/>
      <c r="Q34" s="160"/>
      <c r="R34" s="190"/>
      <c r="S34" s="120"/>
      <c r="T34" s="120"/>
      <c r="U34" s="120"/>
      <c r="V34" s="120"/>
      <c r="W34" s="120"/>
      <c r="X34" s="120"/>
      <c r="Y34" s="120"/>
      <c r="Z34" s="120"/>
      <c r="AA34" s="120"/>
      <c r="AB34" s="120" t="s">
        <v>18</v>
      </c>
      <c r="AC34" s="120"/>
      <c r="AD34" s="120"/>
      <c r="AE34" s="120"/>
      <c r="AF34" s="120"/>
      <c r="AG34" s="120"/>
      <c r="AH34" s="120"/>
      <c r="AI34" s="120"/>
      <c r="AJ34" s="120"/>
      <c r="AK34" s="120" t="s">
        <v>149</v>
      </c>
      <c r="AL34" s="120"/>
      <c r="AM34" s="120"/>
      <c r="AN34" s="120"/>
      <c r="AO34" s="120"/>
      <c r="AP34" s="120"/>
      <c r="AQ34" s="120"/>
      <c r="AR34" s="120"/>
      <c r="AS34" s="120"/>
      <c r="AT34" s="145" t="s">
        <v>437</v>
      </c>
      <c r="AU34" s="146"/>
      <c r="AV34" s="146"/>
      <c r="AW34" s="146"/>
      <c r="AX34" s="146"/>
      <c r="AY34" s="147"/>
      <c r="AZ34" s="280"/>
      <c r="BA34" s="293"/>
      <c r="BB34" s="279"/>
    </row>
    <row r="35" spans="1:54" ht="12.75">
      <c r="A35" s="143" t="s">
        <v>228</v>
      </c>
      <c r="B35" s="143" t="s">
        <v>239</v>
      </c>
      <c r="C35" s="197">
        <v>623125142</v>
      </c>
      <c r="D35" s="325">
        <v>13939.8946</v>
      </c>
      <c r="E35" s="325">
        <v>14066.657</v>
      </c>
      <c r="F35" s="175">
        <v>2400</v>
      </c>
      <c r="G35" s="326">
        <f t="shared" si="1"/>
        <v>126.76239999999962</v>
      </c>
      <c r="H35" s="171"/>
      <c r="I35" s="175">
        <f>ROUND(G35*F35,0)</f>
        <v>304230</v>
      </c>
      <c r="J35" s="160"/>
      <c r="K35" s="160"/>
      <c r="L35" s="264"/>
      <c r="M35" s="181"/>
      <c r="N35" s="266" t="s">
        <v>283</v>
      </c>
      <c r="O35" s="266"/>
      <c r="P35" s="188"/>
      <c r="Q35" s="160"/>
      <c r="R35" s="190"/>
      <c r="S35" s="120"/>
      <c r="T35" s="120"/>
      <c r="U35" s="120"/>
      <c r="V35" s="120"/>
      <c r="W35" s="120"/>
      <c r="X35" s="120"/>
      <c r="Y35" s="120"/>
      <c r="Z35" s="120"/>
      <c r="AA35" s="120"/>
      <c r="AB35" s="120" t="s">
        <v>167</v>
      </c>
      <c r="AC35" s="120"/>
      <c r="AD35" s="120"/>
      <c r="AE35" s="120"/>
      <c r="AF35" s="120"/>
      <c r="AG35" s="120" t="s">
        <v>134</v>
      </c>
      <c r="AH35" s="120"/>
      <c r="AI35" s="120" t="s">
        <v>133</v>
      </c>
      <c r="AJ35" s="120"/>
      <c r="AK35" s="120" t="s">
        <v>462</v>
      </c>
      <c r="AL35" s="120"/>
      <c r="AM35" s="120"/>
      <c r="AN35" s="120"/>
      <c r="AO35" s="120"/>
      <c r="AP35" s="120"/>
      <c r="AQ35" s="120" t="s">
        <v>463</v>
      </c>
      <c r="AR35" s="120"/>
      <c r="AS35" s="120"/>
      <c r="AT35" s="145" t="s">
        <v>430</v>
      </c>
      <c r="AU35" s="146"/>
      <c r="AV35" s="146"/>
      <c r="AW35" s="146"/>
      <c r="AX35" s="146"/>
      <c r="AY35" s="147"/>
      <c r="AZ35" s="280"/>
      <c r="BA35" s="293"/>
      <c r="BB35" s="279"/>
    </row>
    <row r="36" spans="1:54" ht="12.75">
      <c r="A36" s="144"/>
      <c r="B36" s="144" t="s">
        <v>222</v>
      </c>
      <c r="C36" s="169"/>
      <c r="D36" s="228"/>
      <c r="E36" s="228"/>
      <c r="F36" s="164"/>
      <c r="G36" s="227"/>
      <c r="H36" s="169"/>
      <c r="I36" s="164"/>
      <c r="J36" s="160"/>
      <c r="K36" s="239"/>
      <c r="L36" s="181"/>
      <c r="M36" s="181"/>
      <c r="N36" s="267" t="s">
        <v>281</v>
      </c>
      <c r="O36" s="188"/>
      <c r="P36" s="188"/>
      <c r="Q36" s="160"/>
      <c r="R36" s="190"/>
      <c r="S36" s="120"/>
      <c r="T36" s="120"/>
      <c r="U36" s="120"/>
      <c r="V36" s="120"/>
      <c r="W36" s="120"/>
      <c r="X36" s="120"/>
      <c r="Y36" s="120"/>
      <c r="Z36" s="120"/>
      <c r="AA36" s="120"/>
      <c r="AB36" s="120" t="s">
        <v>188</v>
      </c>
      <c r="AC36" s="120"/>
      <c r="AD36" s="120"/>
      <c r="AE36" s="120"/>
      <c r="AF36" s="120"/>
      <c r="AG36" s="120" t="s">
        <v>150</v>
      </c>
      <c r="AH36" s="120"/>
      <c r="AI36" s="120"/>
      <c r="AJ36" s="120"/>
      <c r="AK36" s="120"/>
      <c r="AL36" s="120"/>
      <c r="AM36" s="120"/>
      <c r="AN36" s="120"/>
      <c r="AO36" s="120"/>
      <c r="AP36" s="120"/>
      <c r="AQ36" s="120" t="s">
        <v>150</v>
      </c>
      <c r="AR36" s="120"/>
      <c r="AS36" s="120"/>
      <c r="AT36" s="145" t="s">
        <v>430</v>
      </c>
      <c r="AU36" s="146"/>
      <c r="AV36" s="146"/>
      <c r="AW36" s="146"/>
      <c r="AX36" s="146"/>
      <c r="AY36" s="147"/>
      <c r="AZ36" s="280"/>
      <c r="BA36" s="293"/>
      <c r="BB36" s="279"/>
    </row>
    <row r="37" spans="1:54" ht="12.75">
      <c r="A37" s="143" t="s">
        <v>229</v>
      </c>
      <c r="B37" s="143" t="s">
        <v>240</v>
      </c>
      <c r="C37" s="197">
        <v>623125205</v>
      </c>
      <c r="D37" s="325">
        <v>5029.6612</v>
      </c>
      <c r="E37" s="325">
        <v>5098.2444</v>
      </c>
      <c r="F37" s="175">
        <v>1800</v>
      </c>
      <c r="G37" s="326">
        <f t="shared" si="1"/>
        <v>68.58320000000003</v>
      </c>
      <c r="H37" s="171"/>
      <c r="I37" s="175">
        <f>ROUND(G37*F37,0)</f>
        <v>123450</v>
      </c>
      <c r="J37" s="120"/>
      <c r="K37" s="160"/>
      <c r="L37" s="160"/>
      <c r="M37" s="160"/>
      <c r="N37" s="160"/>
      <c r="O37" s="160"/>
      <c r="P37" s="190"/>
      <c r="Q37" s="236"/>
      <c r="R37" s="237"/>
      <c r="S37" s="120" t="s">
        <v>160</v>
      </c>
      <c r="T37" s="120"/>
      <c r="U37" s="120"/>
      <c r="V37" s="120"/>
      <c r="W37" s="120"/>
      <c r="X37" s="120" t="s">
        <v>450</v>
      </c>
      <c r="Y37" s="120"/>
      <c r="Z37" s="120" t="s">
        <v>137</v>
      </c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46" t="s">
        <v>323</v>
      </c>
      <c r="AU37" s="146"/>
      <c r="AV37" s="146"/>
      <c r="AW37" s="146"/>
      <c r="AX37" s="146"/>
      <c r="AY37" s="147"/>
      <c r="AZ37" s="280"/>
      <c r="BA37" s="287"/>
      <c r="BB37" s="279"/>
    </row>
    <row r="38" spans="1:54" ht="12.75" customHeight="1">
      <c r="A38" s="144"/>
      <c r="B38" s="144" t="s">
        <v>222</v>
      </c>
      <c r="C38" s="169"/>
      <c r="D38" s="228"/>
      <c r="E38" s="228"/>
      <c r="F38" s="164"/>
      <c r="G38" s="227"/>
      <c r="H38" s="169"/>
      <c r="I38" s="164"/>
      <c r="J38" s="120"/>
      <c r="K38" s="160"/>
      <c r="L38" s="160"/>
      <c r="M38" s="160"/>
      <c r="N38" s="160"/>
      <c r="O38" s="160"/>
      <c r="P38" s="190"/>
      <c r="Q38" s="236"/>
      <c r="R38" s="237"/>
      <c r="S38" s="120"/>
      <c r="T38" s="120"/>
      <c r="U38" s="120"/>
      <c r="V38" s="120"/>
      <c r="W38" s="120"/>
      <c r="X38" s="120" t="s">
        <v>150</v>
      </c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45" t="s">
        <v>430</v>
      </c>
      <c r="AU38" s="146"/>
      <c r="AV38" s="146" t="s">
        <v>96</v>
      </c>
      <c r="AW38" s="146"/>
      <c r="AX38" s="146"/>
      <c r="AY38" s="147"/>
      <c r="AZ38" s="280"/>
      <c r="BA38" s="293"/>
      <c r="BB38" s="279"/>
    </row>
    <row r="39" spans="1:54" ht="12.75" customHeight="1">
      <c r="A39" s="143" t="s">
        <v>230</v>
      </c>
      <c r="B39" s="143" t="s">
        <v>241</v>
      </c>
      <c r="C39" s="197">
        <v>623123704</v>
      </c>
      <c r="D39" s="325">
        <v>7931.8468</v>
      </c>
      <c r="E39" s="325">
        <v>8090.036</v>
      </c>
      <c r="F39" s="175">
        <v>1800</v>
      </c>
      <c r="G39" s="326">
        <f t="shared" si="1"/>
        <v>158.1891999999998</v>
      </c>
      <c r="H39" s="171"/>
      <c r="I39" s="175">
        <f>ROUND(G39*F39,0)</f>
        <v>284741</v>
      </c>
      <c r="J39" s="120"/>
      <c r="K39" s="160"/>
      <c r="L39" s="160"/>
      <c r="M39" s="160"/>
      <c r="N39" s="160"/>
      <c r="O39" s="160"/>
      <c r="P39" s="190"/>
      <c r="Q39" s="236"/>
      <c r="R39" s="237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45" t="s">
        <v>431</v>
      </c>
      <c r="AU39" s="146"/>
      <c r="AV39" s="146" t="s">
        <v>416</v>
      </c>
      <c r="AW39" s="146"/>
      <c r="AX39" s="146"/>
      <c r="AY39" s="147"/>
      <c r="AZ39" s="280"/>
      <c r="BA39" s="293"/>
      <c r="BB39" s="279"/>
    </row>
    <row r="40" spans="1:54" ht="12.75" customHeight="1">
      <c r="A40" s="144"/>
      <c r="B40" s="144" t="s">
        <v>222</v>
      </c>
      <c r="C40" s="169"/>
      <c r="D40" s="228"/>
      <c r="E40" s="228"/>
      <c r="F40" s="164"/>
      <c r="G40" s="227"/>
      <c r="H40" s="169"/>
      <c r="I40" s="164"/>
      <c r="J40" s="120"/>
      <c r="K40" s="160"/>
      <c r="L40" s="160"/>
      <c r="M40" s="160"/>
      <c r="N40" s="160"/>
      <c r="O40" s="160"/>
      <c r="P40" s="190"/>
      <c r="Q40" s="236"/>
      <c r="R40" s="237"/>
      <c r="S40" s="239"/>
      <c r="T40" s="268"/>
      <c r="U40" s="160"/>
      <c r="V40" s="160"/>
      <c r="W40" s="188"/>
      <c r="X40" s="188"/>
      <c r="Y40" s="269"/>
      <c r="Z40" s="160"/>
      <c r="AA40" s="19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45"/>
      <c r="AU40" s="146"/>
      <c r="AV40" s="146"/>
      <c r="AW40" s="146"/>
      <c r="AX40" s="146"/>
      <c r="AY40" s="147"/>
      <c r="AZ40" s="280"/>
      <c r="BA40" s="293"/>
      <c r="BB40" s="279"/>
    </row>
    <row r="41" spans="1:54" ht="12.75" customHeight="1">
      <c r="A41" s="143" t="s">
        <v>231</v>
      </c>
      <c r="B41" s="143" t="s">
        <v>242</v>
      </c>
      <c r="C41" s="197">
        <v>623125794</v>
      </c>
      <c r="D41" s="325">
        <v>111.485</v>
      </c>
      <c r="E41" s="325">
        <v>130.0983</v>
      </c>
      <c r="F41" s="175">
        <v>1800</v>
      </c>
      <c r="G41" s="326">
        <f t="shared" si="1"/>
        <v>18.613299999999995</v>
      </c>
      <c r="H41" s="171"/>
      <c r="I41" s="175">
        <f>ROUND(G41*F41,0)</f>
        <v>33504</v>
      </c>
      <c r="J41" s="120"/>
      <c r="K41" s="160"/>
      <c r="L41" s="160"/>
      <c r="M41" s="160"/>
      <c r="N41" s="160"/>
      <c r="O41" s="160"/>
      <c r="P41" s="190"/>
      <c r="Q41" s="236"/>
      <c r="R41" s="237"/>
      <c r="S41" s="239"/>
      <c r="T41" s="268"/>
      <c r="U41" s="160"/>
      <c r="V41" s="160"/>
      <c r="W41" s="188"/>
      <c r="X41" s="188"/>
      <c r="Y41" s="269"/>
      <c r="Z41" s="160"/>
      <c r="AA41" s="19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45"/>
      <c r="AU41" s="146"/>
      <c r="AV41" s="146"/>
      <c r="AW41" s="146"/>
      <c r="AX41" s="146"/>
      <c r="AY41" s="147"/>
      <c r="AZ41" s="280"/>
      <c r="BA41" s="293"/>
      <c r="BB41" s="279"/>
    </row>
    <row r="42" spans="1:54" ht="12.75" customHeight="1">
      <c r="A42" s="144"/>
      <c r="B42" s="144" t="s">
        <v>222</v>
      </c>
      <c r="C42" s="169"/>
      <c r="D42" s="228"/>
      <c r="E42" s="228"/>
      <c r="F42" s="164"/>
      <c r="G42" s="227"/>
      <c r="H42" s="169"/>
      <c r="I42" s="164"/>
      <c r="J42" s="120"/>
      <c r="K42" s="160"/>
      <c r="L42" s="160"/>
      <c r="M42" s="160"/>
      <c r="N42" s="160"/>
      <c r="O42" s="160"/>
      <c r="P42" s="190"/>
      <c r="Q42" s="236"/>
      <c r="R42" s="237"/>
      <c r="S42" s="268"/>
      <c r="T42" s="239"/>
      <c r="U42" s="160"/>
      <c r="V42" s="160"/>
      <c r="W42" s="160"/>
      <c r="X42" s="160"/>
      <c r="Y42" s="160"/>
      <c r="Z42" s="160"/>
      <c r="AA42" s="19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45"/>
      <c r="AU42" s="146"/>
      <c r="AV42" s="146"/>
      <c r="AW42" s="146"/>
      <c r="AX42" s="146"/>
      <c r="AY42" s="147"/>
      <c r="AZ42" s="280"/>
      <c r="BA42" s="287"/>
      <c r="BB42" s="279"/>
    </row>
    <row r="43" spans="1:54" ht="12.75">
      <c r="A43" s="143" t="s">
        <v>232</v>
      </c>
      <c r="B43" s="143" t="s">
        <v>243</v>
      </c>
      <c r="C43" s="197">
        <v>623125736</v>
      </c>
      <c r="D43" s="325">
        <v>4280.1119</v>
      </c>
      <c r="E43" s="325">
        <v>4352.0189</v>
      </c>
      <c r="F43" s="175">
        <v>1200</v>
      </c>
      <c r="G43" s="326">
        <f t="shared" si="1"/>
        <v>71.90700000000015</v>
      </c>
      <c r="H43" s="171"/>
      <c r="I43" s="175">
        <f>ROUND(G43*F43,0)</f>
        <v>86288</v>
      </c>
      <c r="J43" s="120"/>
      <c r="K43" s="160"/>
      <c r="L43" s="160"/>
      <c r="M43" s="160"/>
      <c r="N43" s="160"/>
      <c r="O43" s="160"/>
      <c r="P43" s="190"/>
      <c r="Q43" s="236"/>
      <c r="R43" s="237"/>
      <c r="S43" s="239"/>
      <c r="T43" s="268"/>
      <c r="U43" s="160"/>
      <c r="V43" s="160"/>
      <c r="W43" s="188"/>
      <c r="X43" s="188"/>
      <c r="Y43" s="269"/>
      <c r="Z43" s="160"/>
      <c r="AA43" s="19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45" t="s">
        <v>323</v>
      </c>
      <c r="AU43" s="146"/>
      <c r="AV43" s="146"/>
      <c r="AW43" s="146"/>
      <c r="AX43" s="146"/>
      <c r="AY43" s="147"/>
      <c r="AZ43" s="280"/>
      <c r="BA43" s="293"/>
      <c r="BB43" s="279"/>
    </row>
    <row r="44" spans="1:54" ht="12.75">
      <c r="A44" s="144"/>
      <c r="B44" s="144" t="s">
        <v>222</v>
      </c>
      <c r="C44" s="168"/>
      <c r="D44" s="228"/>
      <c r="E44" s="228"/>
      <c r="F44" s="164"/>
      <c r="G44" s="227"/>
      <c r="H44" s="169"/>
      <c r="I44" s="164"/>
      <c r="J44" s="160"/>
      <c r="K44" s="160"/>
      <c r="L44" s="160"/>
      <c r="M44" s="160"/>
      <c r="N44" s="160"/>
      <c r="O44" s="160"/>
      <c r="P44" s="190"/>
      <c r="Q44" s="236"/>
      <c r="R44" s="237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45"/>
      <c r="AU44" s="146"/>
      <c r="AV44" s="146"/>
      <c r="AW44" s="146"/>
      <c r="AX44" s="146"/>
      <c r="AY44" s="147"/>
      <c r="AZ44" s="280"/>
      <c r="BA44" s="287"/>
      <c r="BB44" s="279"/>
    </row>
    <row r="45" spans="1:54" ht="12.75">
      <c r="A45" s="143" t="s">
        <v>233</v>
      </c>
      <c r="B45" s="145" t="s">
        <v>234</v>
      </c>
      <c r="C45" s="197">
        <v>1110171156</v>
      </c>
      <c r="D45" s="325">
        <v>12518.2316</v>
      </c>
      <c r="E45" s="325">
        <v>12839.54</v>
      </c>
      <c r="F45" s="175">
        <v>40</v>
      </c>
      <c r="G45" s="326">
        <f>E45-D45</f>
        <v>321.3084000000017</v>
      </c>
      <c r="H45" s="171"/>
      <c r="I45" s="175">
        <f>ROUND(G45*F45,0)</f>
        <v>12852</v>
      </c>
      <c r="J45" s="160"/>
      <c r="K45" s="160"/>
      <c r="L45" s="160"/>
      <c r="M45" s="160"/>
      <c r="N45" s="160"/>
      <c r="O45" s="160"/>
      <c r="P45" s="190"/>
      <c r="Q45" s="238"/>
      <c r="R45" s="237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45" t="s">
        <v>3</v>
      </c>
      <c r="AU45" s="146"/>
      <c r="AV45" s="146"/>
      <c r="AW45" s="146"/>
      <c r="AX45" s="146"/>
      <c r="AY45" s="147"/>
      <c r="AZ45" s="280"/>
      <c r="BA45" s="287"/>
      <c r="BB45" s="279"/>
    </row>
    <row r="46" spans="1:54" ht="12.75">
      <c r="A46" s="144"/>
      <c r="B46" s="103" t="s">
        <v>222</v>
      </c>
      <c r="C46" s="198"/>
      <c r="D46" s="378"/>
      <c r="E46" s="325"/>
      <c r="F46" s="175"/>
      <c r="G46" s="326"/>
      <c r="H46" s="171"/>
      <c r="I46" s="175"/>
      <c r="J46" s="160"/>
      <c r="K46" s="160"/>
      <c r="L46" s="160"/>
      <c r="M46" s="160"/>
      <c r="N46" s="160"/>
      <c r="O46" s="160"/>
      <c r="P46" s="190"/>
      <c r="Q46" s="236"/>
      <c r="R46" s="237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45"/>
      <c r="AU46" s="146"/>
      <c r="AV46" s="146" t="s">
        <v>330</v>
      </c>
      <c r="AW46" s="146"/>
      <c r="AX46" s="146"/>
      <c r="AY46" s="147"/>
      <c r="AZ46" s="280"/>
      <c r="BA46" s="298"/>
      <c r="BB46" s="279"/>
    </row>
    <row r="47" spans="1:54" ht="12.75">
      <c r="A47" s="201"/>
      <c r="B47" s="150"/>
      <c r="C47" s="191"/>
      <c r="D47" s="199"/>
      <c r="E47" s="200"/>
      <c r="F47" s="200"/>
      <c r="G47" s="215" t="s">
        <v>244</v>
      </c>
      <c r="H47" s="151"/>
      <c r="I47" s="235">
        <f>ROUND((SUM(I25:I46)+I20),0)</f>
        <v>4137365</v>
      </c>
      <c r="J47" s="160"/>
      <c r="K47" s="160"/>
      <c r="L47" s="160"/>
      <c r="M47" s="160"/>
      <c r="N47" s="160"/>
      <c r="O47" s="160"/>
      <c r="P47" s="190"/>
      <c r="Q47" s="238"/>
      <c r="R47" s="237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45"/>
      <c r="AU47" s="146"/>
      <c r="AV47" s="146"/>
      <c r="AW47" s="146"/>
      <c r="AX47" s="146"/>
      <c r="AY47" s="147"/>
      <c r="AZ47" s="280"/>
      <c r="BA47" s="287"/>
      <c r="BB47" s="279"/>
    </row>
    <row r="48" spans="1:54" ht="12.75">
      <c r="A48" s="143" t="s">
        <v>247</v>
      </c>
      <c r="B48" s="145" t="s">
        <v>245</v>
      </c>
      <c r="C48" s="202"/>
      <c r="D48" s="202"/>
      <c r="E48" s="203"/>
      <c r="F48" s="203"/>
      <c r="G48" s="204"/>
      <c r="H48" s="146"/>
      <c r="I48" s="205"/>
      <c r="J48" s="160"/>
      <c r="K48" s="160"/>
      <c r="L48" s="160"/>
      <c r="M48" s="160"/>
      <c r="N48" s="160"/>
      <c r="O48" s="160"/>
      <c r="P48" s="190"/>
      <c r="Q48" s="236"/>
      <c r="R48" s="237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45"/>
      <c r="AU48" s="146"/>
      <c r="AV48" s="146"/>
      <c r="AW48" s="146"/>
      <c r="AX48" s="146"/>
      <c r="AY48" s="147"/>
      <c r="AZ48" s="280"/>
      <c r="BA48" s="298"/>
      <c r="BB48" s="279"/>
    </row>
    <row r="49" spans="1:54" ht="12.75">
      <c r="A49" s="173"/>
      <c r="B49" s="159" t="s">
        <v>246</v>
      </c>
      <c r="C49" s="206"/>
      <c r="D49" s="191"/>
      <c r="E49" s="207"/>
      <c r="F49" s="207"/>
      <c r="G49" s="208"/>
      <c r="H49" s="148"/>
      <c r="I49" s="209"/>
      <c r="J49" s="160"/>
      <c r="K49" s="160"/>
      <c r="L49" s="239"/>
      <c r="M49" s="160"/>
      <c r="N49" s="160"/>
      <c r="O49" s="160"/>
      <c r="P49" s="190"/>
      <c r="Q49" s="236"/>
      <c r="R49" s="237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45"/>
      <c r="AU49" s="146"/>
      <c r="AV49" s="146" t="s">
        <v>330</v>
      </c>
      <c r="AW49" s="146"/>
      <c r="AX49" s="146"/>
      <c r="AY49" s="147"/>
      <c r="AZ49" s="280"/>
      <c r="BA49" s="293"/>
      <c r="BB49" s="279"/>
    </row>
    <row r="50" spans="1:54" ht="12.75">
      <c r="A50" s="145" t="s">
        <v>248</v>
      </c>
      <c r="B50" s="143" t="s">
        <v>484</v>
      </c>
      <c r="C50" s="304"/>
      <c r="D50" s="211"/>
      <c r="E50" s="211"/>
      <c r="F50" s="155"/>
      <c r="G50" s="212"/>
      <c r="H50" s="152"/>
      <c r="I50" s="155"/>
      <c r="J50" s="160"/>
      <c r="K50" s="160"/>
      <c r="L50" s="160"/>
      <c r="M50" s="160"/>
      <c r="N50" s="160"/>
      <c r="O50" s="160"/>
      <c r="P50" s="160"/>
      <c r="Q50" s="160"/>
      <c r="R50" s="16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50"/>
      <c r="AU50" s="150"/>
      <c r="AV50" s="270" t="s">
        <v>534</v>
      </c>
      <c r="AW50" s="150"/>
      <c r="AX50" s="150"/>
      <c r="AY50" s="151"/>
      <c r="AZ50" s="280"/>
      <c r="BA50" s="293"/>
      <c r="BB50" s="279"/>
    </row>
    <row r="51" spans="1:54" ht="12.75">
      <c r="A51" s="159"/>
      <c r="B51" s="173"/>
      <c r="C51" s="305">
        <v>611127627</v>
      </c>
      <c r="D51" s="302">
        <v>6097.5244</v>
      </c>
      <c r="E51" s="302">
        <v>6194.912</v>
      </c>
      <c r="F51" s="155">
        <v>40</v>
      </c>
      <c r="G51" s="252">
        <f>E51-D51</f>
        <v>97.38760000000002</v>
      </c>
      <c r="H51" s="155"/>
      <c r="I51" s="155">
        <f>ROUND(F51*G51+H51,0)</f>
        <v>3896</v>
      </c>
      <c r="J51" s="160"/>
      <c r="K51" s="160"/>
      <c r="L51" s="160"/>
      <c r="M51" s="160"/>
      <c r="N51" s="160"/>
      <c r="O51" s="160"/>
      <c r="P51" s="160"/>
      <c r="Q51" s="160"/>
      <c r="R51" s="16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60"/>
      <c r="AU51" s="120"/>
      <c r="AV51" s="120"/>
      <c r="AW51" s="120"/>
      <c r="AX51" s="120"/>
      <c r="AY51" s="120"/>
      <c r="AZ51" s="120"/>
      <c r="BA51" s="120"/>
      <c r="BB51" s="120"/>
    </row>
    <row r="52" spans="1:54" ht="12.75">
      <c r="A52" s="159"/>
      <c r="B52" s="144" t="s">
        <v>467</v>
      </c>
      <c r="C52" s="305"/>
      <c r="D52" s="306"/>
      <c r="E52" s="306"/>
      <c r="F52" s="155"/>
      <c r="G52" s="212"/>
      <c r="H52" s="155"/>
      <c r="I52" s="155"/>
      <c r="J52" s="160"/>
      <c r="K52" s="160"/>
      <c r="L52" s="160"/>
      <c r="M52" s="160"/>
      <c r="N52" s="160"/>
      <c r="O52" s="160"/>
      <c r="P52" s="160"/>
      <c r="Q52" s="160"/>
      <c r="R52" s="16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60"/>
      <c r="AU52" s="120"/>
      <c r="AV52" s="120"/>
      <c r="AW52" s="120"/>
      <c r="AX52" s="120"/>
      <c r="AY52" s="120"/>
      <c r="AZ52" s="120"/>
      <c r="BA52" s="120"/>
      <c r="BB52" s="120"/>
    </row>
    <row r="53" spans="1:54" ht="12.75">
      <c r="A53" s="143" t="s">
        <v>251</v>
      </c>
      <c r="B53" s="161"/>
      <c r="C53" s="213">
        <v>810120245</v>
      </c>
      <c r="D53" s="302">
        <v>3760.564</v>
      </c>
      <c r="E53" s="302">
        <v>3763.2892</v>
      </c>
      <c r="F53" s="155">
        <v>3600</v>
      </c>
      <c r="G53" s="252">
        <f>E53-D53</f>
        <v>2.7252000000003136</v>
      </c>
      <c r="H53" s="155"/>
      <c r="I53" s="155">
        <f>ROUND(F53*G53+H53,0)</f>
        <v>9811</v>
      </c>
      <c r="J53" s="160"/>
      <c r="K53" s="160"/>
      <c r="L53" s="160"/>
      <c r="M53" s="160"/>
      <c r="N53" s="160"/>
      <c r="O53" s="160"/>
      <c r="P53" s="160"/>
      <c r="Q53" s="160"/>
      <c r="R53" s="16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60" t="s">
        <v>602</v>
      </c>
      <c r="AU53" s="120"/>
      <c r="AV53" s="120"/>
      <c r="AW53" s="120"/>
      <c r="AX53" s="120"/>
      <c r="AY53" s="120"/>
      <c r="AZ53" s="120"/>
      <c r="BA53" s="120"/>
      <c r="BB53" s="120"/>
    </row>
    <row r="54" spans="1:54" ht="12.75">
      <c r="A54" s="173"/>
      <c r="B54" s="161" t="s">
        <v>494</v>
      </c>
      <c r="C54" s="213"/>
      <c r="D54" s="302"/>
      <c r="E54" s="302"/>
      <c r="F54" s="155"/>
      <c r="G54" s="252"/>
      <c r="H54" s="96"/>
      <c r="I54" s="155"/>
      <c r="J54" s="160"/>
      <c r="K54" s="160"/>
      <c r="L54" s="160"/>
      <c r="M54" s="160"/>
      <c r="N54" s="160"/>
      <c r="O54" s="160"/>
      <c r="P54" s="160"/>
      <c r="Q54" s="160"/>
      <c r="R54" s="16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60"/>
      <c r="AU54" s="120"/>
      <c r="AV54" s="120"/>
      <c r="AW54" s="120"/>
      <c r="AX54" s="120"/>
      <c r="AY54" s="120"/>
      <c r="AZ54" s="120"/>
      <c r="BA54" s="120"/>
      <c r="BB54" s="120"/>
    </row>
    <row r="55" spans="1:54" ht="12.75">
      <c r="A55" s="173"/>
      <c r="B55" s="161"/>
      <c r="C55" s="210">
        <v>4050284</v>
      </c>
      <c r="D55" s="230">
        <v>4268.8017</v>
      </c>
      <c r="E55" s="230">
        <v>4306.8708</v>
      </c>
      <c r="F55" s="155">
        <v>3600</v>
      </c>
      <c r="G55" s="253">
        <f>E55-D55</f>
        <v>38.06909999999971</v>
      </c>
      <c r="H55" s="96"/>
      <c r="I55" s="155">
        <f>ROUND(F55*G55+H55,0)</f>
        <v>137049</v>
      </c>
      <c r="J55" s="160"/>
      <c r="K55" s="160"/>
      <c r="L55" s="160"/>
      <c r="M55" s="160"/>
      <c r="N55" s="160"/>
      <c r="O55" s="160"/>
      <c r="P55" s="160"/>
      <c r="Q55" s="160"/>
      <c r="R55" s="16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60"/>
      <c r="AU55" s="120"/>
      <c r="AV55" s="120"/>
      <c r="AW55" s="120"/>
      <c r="AX55" s="120"/>
      <c r="AY55" s="120"/>
      <c r="AZ55" s="120"/>
      <c r="BA55" s="120"/>
      <c r="BB55" s="120"/>
    </row>
    <row r="56" spans="1:54" ht="12.75">
      <c r="A56" s="144"/>
      <c r="B56" s="149"/>
      <c r="C56" s="210"/>
      <c r="D56" s="230"/>
      <c r="E56" s="230"/>
      <c r="F56" s="155"/>
      <c r="G56" s="253"/>
      <c r="H56" s="96"/>
      <c r="I56" s="155"/>
      <c r="J56" s="160"/>
      <c r="K56" s="160"/>
      <c r="L56" s="160"/>
      <c r="M56" s="160"/>
      <c r="N56" s="160"/>
      <c r="O56" s="160"/>
      <c r="P56" s="160"/>
      <c r="Q56" s="160"/>
      <c r="R56" s="24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60"/>
      <c r="AU56" s="120"/>
      <c r="AV56" s="120"/>
      <c r="AW56" s="120"/>
      <c r="AX56" s="120"/>
      <c r="AY56" s="120"/>
      <c r="AZ56" s="120"/>
      <c r="BA56" s="120"/>
      <c r="BB56" s="120"/>
    </row>
    <row r="57" spans="1:54" ht="12.75">
      <c r="A57" s="173" t="s">
        <v>252</v>
      </c>
      <c r="B57" s="143" t="s">
        <v>218</v>
      </c>
      <c r="C57" s="152"/>
      <c r="D57" s="211"/>
      <c r="E57" s="211"/>
      <c r="F57" s="155"/>
      <c r="G57" s="212"/>
      <c r="H57" s="96"/>
      <c r="I57" s="155"/>
      <c r="J57" s="160"/>
      <c r="K57" s="120"/>
      <c r="L57" s="120"/>
      <c r="M57" s="120"/>
      <c r="N57" s="120"/>
      <c r="O57" s="120"/>
      <c r="P57" s="120"/>
      <c r="Q57" s="120"/>
      <c r="R57" s="241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60"/>
      <c r="AU57" s="120"/>
      <c r="AV57" s="120"/>
      <c r="AW57" s="120"/>
      <c r="AX57" s="120"/>
      <c r="AY57" s="120"/>
      <c r="AZ57" s="120"/>
      <c r="BA57" s="120"/>
      <c r="BB57" s="271"/>
    </row>
    <row r="58" spans="1:54" ht="12.75">
      <c r="A58" s="307"/>
      <c r="B58" s="173" t="s">
        <v>217</v>
      </c>
      <c r="C58" s="305">
        <v>611127492</v>
      </c>
      <c r="D58" s="302">
        <v>20418.9816</v>
      </c>
      <c r="E58" s="302">
        <v>20590.776</v>
      </c>
      <c r="F58" s="155">
        <v>20</v>
      </c>
      <c r="G58" s="252">
        <f>E58-D58</f>
        <v>171.7944000000025</v>
      </c>
      <c r="H58" s="155"/>
      <c r="I58" s="155">
        <f>ROUND(F58*G58+H58,0)</f>
        <v>3436</v>
      </c>
      <c r="J58" s="16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60"/>
      <c r="AU58" s="120"/>
      <c r="AV58" s="120" t="s">
        <v>144</v>
      </c>
      <c r="AW58" s="120"/>
      <c r="AX58" s="120"/>
      <c r="AY58" s="120"/>
      <c r="AZ58" s="120"/>
      <c r="BA58" s="120"/>
      <c r="BB58" s="272">
        <f>BA9</f>
        <v>4.349206348469262</v>
      </c>
    </row>
    <row r="59" spans="1:54" ht="12.75">
      <c r="A59" s="145" t="s">
        <v>253</v>
      </c>
      <c r="B59" s="143" t="s">
        <v>485</v>
      </c>
      <c r="C59" s="309"/>
      <c r="D59" s="211"/>
      <c r="E59" s="211"/>
      <c r="F59" s="155"/>
      <c r="G59" s="212"/>
      <c r="H59" s="96"/>
      <c r="I59" s="155"/>
      <c r="J59" s="160"/>
      <c r="K59" s="160"/>
      <c r="L59" s="160"/>
      <c r="M59" s="160"/>
      <c r="N59" s="160"/>
      <c r="O59" s="160"/>
      <c r="P59" s="160"/>
      <c r="Q59" s="160"/>
      <c r="R59" s="16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60"/>
      <c r="AU59" s="120"/>
      <c r="AV59" s="120"/>
      <c r="AW59" s="120"/>
      <c r="AX59" s="120"/>
      <c r="AY59" s="120"/>
      <c r="AZ59" s="120"/>
      <c r="BA59" s="120"/>
      <c r="BB59" s="120"/>
    </row>
    <row r="60" spans="1:54" ht="12.75">
      <c r="A60" s="308"/>
      <c r="B60" s="168" t="s">
        <v>546</v>
      </c>
      <c r="C60" s="305">
        <v>611127702</v>
      </c>
      <c r="D60" s="302">
        <v>31808.2868</v>
      </c>
      <c r="E60" s="302">
        <v>32070.2848</v>
      </c>
      <c r="F60" s="155">
        <v>60</v>
      </c>
      <c r="G60" s="252">
        <f>E60-D60</f>
        <v>261.9979999999996</v>
      </c>
      <c r="H60" s="96"/>
      <c r="I60" s="155">
        <f>ROUND(F60*G60+H60,0)</f>
        <v>15720</v>
      </c>
      <c r="J60" s="160"/>
      <c r="K60" s="160"/>
      <c r="L60" s="160"/>
      <c r="M60" s="160"/>
      <c r="N60" s="160"/>
      <c r="O60" s="160"/>
      <c r="P60" s="160"/>
      <c r="Q60" s="160"/>
      <c r="R60" s="16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60"/>
      <c r="AU60" s="160"/>
      <c r="AV60" s="160"/>
      <c r="AW60" s="160"/>
      <c r="AX60" s="160"/>
      <c r="AY60" s="160"/>
      <c r="AZ60" s="160"/>
      <c r="BA60" s="160"/>
      <c r="BB60" s="160"/>
    </row>
    <row r="61" spans="1:54" ht="13.5">
      <c r="A61" s="159"/>
      <c r="B61" s="168" t="s">
        <v>547</v>
      </c>
      <c r="C61" s="305">
        <v>611127555</v>
      </c>
      <c r="D61" s="302">
        <v>9633.4164</v>
      </c>
      <c r="E61" s="302">
        <v>10054.7428</v>
      </c>
      <c r="F61" s="155">
        <v>60</v>
      </c>
      <c r="G61" s="252">
        <f>E61-D61</f>
        <v>421.3263999999999</v>
      </c>
      <c r="H61" s="96"/>
      <c r="I61" s="155">
        <f>ROUND(F61*G61+H61,0)</f>
        <v>25280</v>
      </c>
      <c r="J61" s="160"/>
      <c r="K61" s="160"/>
      <c r="L61" s="160"/>
      <c r="M61" s="160"/>
      <c r="N61" s="160"/>
      <c r="O61" s="242"/>
      <c r="P61" s="243"/>
      <c r="Q61" s="160"/>
      <c r="R61" s="16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60"/>
      <c r="AU61" s="160"/>
      <c r="AV61" s="160"/>
      <c r="AW61" s="160"/>
      <c r="AX61" s="160"/>
      <c r="AY61" s="242"/>
      <c r="AZ61" s="243"/>
      <c r="BA61" s="160"/>
      <c r="BB61" s="160"/>
    </row>
    <row r="62" spans="1:54" ht="12.75">
      <c r="A62" s="145" t="s">
        <v>258</v>
      </c>
      <c r="B62" s="143" t="s">
        <v>486</v>
      </c>
      <c r="C62" s="310"/>
      <c r="D62" s="232"/>
      <c r="E62" s="232"/>
      <c r="F62" s="155"/>
      <c r="G62" s="212"/>
      <c r="H62" s="96"/>
      <c r="I62" s="155"/>
      <c r="J62" s="160"/>
      <c r="K62" s="160"/>
      <c r="L62" s="160"/>
      <c r="M62" s="160"/>
      <c r="N62" s="160"/>
      <c r="O62" s="160"/>
      <c r="P62" s="160"/>
      <c r="Q62" s="160"/>
      <c r="R62" s="16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60"/>
      <c r="AU62" s="160"/>
      <c r="AV62" s="160"/>
      <c r="AW62" s="160"/>
      <c r="AX62" s="160"/>
      <c r="AY62" s="160"/>
      <c r="AZ62" s="160"/>
      <c r="BA62" s="160"/>
      <c r="BB62" s="160"/>
    </row>
    <row r="63" spans="1:54" ht="12.75">
      <c r="A63" s="308"/>
      <c r="B63" s="173"/>
      <c r="C63" s="305">
        <v>1110171163</v>
      </c>
      <c r="D63" s="302">
        <v>1106.676</v>
      </c>
      <c r="E63" s="302">
        <v>1163.6268</v>
      </c>
      <c r="F63" s="155">
        <v>60</v>
      </c>
      <c r="G63" s="252">
        <f>E63-D63</f>
        <v>56.95080000000007</v>
      </c>
      <c r="H63" s="96"/>
      <c r="I63" s="155">
        <f>ROUND(F63*G63+H63,0)</f>
        <v>3417</v>
      </c>
      <c r="J63" s="243"/>
      <c r="K63" s="160"/>
      <c r="L63" s="160"/>
      <c r="M63" s="160"/>
      <c r="N63" s="160"/>
      <c r="O63" s="160"/>
      <c r="P63" s="189"/>
      <c r="Q63" s="160"/>
      <c r="R63" s="244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243"/>
      <c r="AU63" s="160"/>
      <c r="AV63" s="160"/>
      <c r="AW63" s="160"/>
      <c r="AX63" s="160"/>
      <c r="AY63" s="160"/>
      <c r="AZ63" s="189"/>
      <c r="BA63" s="160"/>
      <c r="BB63" s="244"/>
    </row>
    <row r="64" spans="1:54" ht="12.75">
      <c r="A64" s="159"/>
      <c r="B64" s="173"/>
      <c r="C64" s="305"/>
      <c r="D64" s="302"/>
      <c r="E64" s="302"/>
      <c r="F64" s="155"/>
      <c r="G64" s="252"/>
      <c r="H64" s="96"/>
      <c r="I64" s="155"/>
      <c r="J64" s="243"/>
      <c r="K64" s="160"/>
      <c r="L64" s="160"/>
      <c r="M64" s="160"/>
      <c r="N64" s="160"/>
      <c r="O64" s="160"/>
      <c r="P64" s="189"/>
      <c r="Q64" s="160"/>
      <c r="R64" s="244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243"/>
      <c r="AU64" s="160"/>
      <c r="AV64" s="160"/>
      <c r="AW64" s="160"/>
      <c r="AX64" s="160"/>
      <c r="AY64" s="160"/>
      <c r="AZ64" s="189"/>
      <c r="BA64" s="160"/>
      <c r="BB64" s="244"/>
    </row>
    <row r="65" spans="1:54" ht="12.75">
      <c r="A65" s="145" t="s">
        <v>260</v>
      </c>
      <c r="B65" s="143" t="s">
        <v>487</v>
      </c>
      <c r="C65" s="311"/>
      <c r="D65" s="232"/>
      <c r="E65" s="232"/>
      <c r="F65" s="155"/>
      <c r="G65" s="212"/>
      <c r="H65" s="96"/>
      <c r="I65" s="155"/>
      <c r="J65" s="243"/>
      <c r="K65" s="160"/>
      <c r="L65" s="160"/>
      <c r="M65" s="160"/>
      <c r="N65" s="160"/>
      <c r="O65" s="160"/>
      <c r="P65" s="189"/>
      <c r="Q65" s="160"/>
      <c r="R65" s="244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243"/>
      <c r="AU65" s="160"/>
      <c r="AV65" s="160"/>
      <c r="AW65" s="160"/>
      <c r="AX65" s="160"/>
      <c r="AY65" s="160"/>
      <c r="AZ65" s="189"/>
      <c r="BA65" s="160"/>
      <c r="BB65" s="244"/>
    </row>
    <row r="66" spans="1:54" ht="12.75">
      <c r="A66" s="159"/>
      <c r="B66" s="173"/>
      <c r="C66" s="305">
        <v>1110171170</v>
      </c>
      <c r="D66" s="302">
        <v>168.8616</v>
      </c>
      <c r="E66" s="302">
        <v>178.4808</v>
      </c>
      <c r="F66" s="155">
        <v>40</v>
      </c>
      <c r="G66" s="252">
        <f>E66-D66</f>
        <v>9.619199999999978</v>
      </c>
      <c r="H66" s="155"/>
      <c r="I66" s="155">
        <f>ROUND(F66*G66+H66,0)</f>
        <v>385</v>
      </c>
      <c r="J66" s="243"/>
      <c r="K66" s="160"/>
      <c r="L66" s="160"/>
      <c r="M66" s="160"/>
      <c r="N66" s="160"/>
      <c r="O66" s="160"/>
      <c r="P66" s="189"/>
      <c r="Q66" s="160"/>
      <c r="R66" s="244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243"/>
      <c r="AU66" s="160"/>
      <c r="AV66" s="160"/>
      <c r="AW66" s="160"/>
      <c r="AX66" s="160"/>
      <c r="AY66" s="160"/>
      <c r="AZ66" s="189"/>
      <c r="BA66" s="160"/>
      <c r="BB66" s="244"/>
    </row>
    <row r="67" spans="1:54" ht="12.75">
      <c r="A67" s="159"/>
      <c r="B67" s="173"/>
      <c r="C67" s="305"/>
      <c r="D67" s="302"/>
      <c r="E67" s="302"/>
      <c r="F67" s="155"/>
      <c r="G67" s="252"/>
      <c r="H67" s="155"/>
      <c r="I67" s="155"/>
      <c r="J67" s="16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60"/>
      <c r="AU67" s="160"/>
      <c r="AV67" s="160"/>
      <c r="AW67" s="160"/>
      <c r="AX67" s="160"/>
      <c r="AY67" s="160"/>
      <c r="AZ67" s="160"/>
      <c r="BA67" s="160"/>
      <c r="BB67" s="160"/>
    </row>
    <row r="68" spans="1:54" ht="12.75">
      <c r="A68" s="145" t="s">
        <v>261</v>
      </c>
      <c r="B68" s="143" t="s">
        <v>550</v>
      </c>
      <c r="C68" s="305">
        <v>611126342</v>
      </c>
      <c r="D68" s="302">
        <v>25782.5391</v>
      </c>
      <c r="E68" s="302">
        <v>25782.5391</v>
      </c>
      <c r="F68" s="155">
        <v>1800</v>
      </c>
      <c r="G68" s="252">
        <f>E68-D68</f>
        <v>0</v>
      </c>
      <c r="H68" s="155"/>
      <c r="I68" s="155">
        <f>ROUND(F68*G68+H68,0)</f>
        <v>0</v>
      </c>
      <c r="J68" s="160"/>
      <c r="K68" s="160"/>
      <c r="L68" s="160"/>
      <c r="M68" s="160"/>
      <c r="N68" s="160"/>
      <c r="O68" s="160"/>
      <c r="P68" s="160"/>
      <c r="Q68" s="160"/>
      <c r="R68" s="16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60"/>
      <c r="AU68" s="160"/>
      <c r="AV68" s="160"/>
      <c r="AW68" s="160"/>
      <c r="AX68" s="160"/>
      <c r="AY68" s="160"/>
      <c r="AZ68" s="160"/>
      <c r="BA68" s="160"/>
      <c r="BB68" s="160"/>
    </row>
    <row r="69" spans="1:54" ht="13.5">
      <c r="A69" s="159"/>
      <c r="B69" s="173" t="s">
        <v>551</v>
      </c>
      <c r="C69" s="305">
        <v>611126404</v>
      </c>
      <c r="D69" s="302">
        <v>576.0523</v>
      </c>
      <c r="E69" s="302">
        <v>582.923</v>
      </c>
      <c r="F69" s="155">
        <v>1800</v>
      </c>
      <c r="G69" s="252">
        <f>E69-D69</f>
        <v>6.870700000000056</v>
      </c>
      <c r="H69" s="155"/>
      <c r="I69" s="155">
        <f>ROUND((F69*G69+H69),0)</f>
        <v>12367</v>
      </c>
      <c r="J69" s="160"/>
      <c r="K69" s="160"/>
      <c r="L69" s="160"/>
      <c r="M69" s="160"/>
      <c r="N69" s="160"/>
      <c r="O69" s="242"/>
      <c r="P69" s="243"/>
      <c r="Q69" s="160"/>
      <c r="R69" s="16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60"/>
      <c r="AU69" s="160"/>
      <c r="AV69" s="160"/>
      <c r="AW69" s="160"/>
      <c r="AX69" s="160"/>
      <c r="AY69" s="242"/>
      <c r="AZ69" s="243"/>
      <c r="BA69" s="160"/>
      <c r="BB69" s="160"/>
    </row>
    <row r="70" spans="1:54" ht="12.75">
      <c r="A70" s="103"/>
      <c r="B70" s="144" t="s">
        <v>509</v>
      </c>
      <c r="C70" s="305">
        <v>611126334</v>
      </c>
      <c r="D70" s="302">
        <v>2.3724</v>
      </c>
      <c r="E70" s="302">
        <v>2.3724</v>
      </c>
      <c r="F70" s="155">
        <v>1800</v>
      </c>
      <c r="G70" s="252">
        <f>E70-D70</f>
        <v>0</v>
      </c>
      <c r="H70" s="96"/>
      <c r="I70" s="155">
        <f>ROUND(F70*G70+H70,0)</f>
        <v>0</v>
      </c>
      <c r="J70" s="160"/>
      <c r="K70" s="160"/>
      <c r="L70" s="160"/>
      <c r="M70" s="160"/>
      <c r="N70" s="160"/>
      <c r="O70" s="160"/>
      <c r="P70" s="160"/>
      <c r="Q70" s="160"/>
      <c r="R70" s="16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60"/>
      <c r="AU70" s="160"/>
      <c r="AV70" s="160"/>
      <c r="AW70" s="160"/>
      <c r="AX70" s="160"/>
      <c r="AY70" s="160"/>
      <c r="AZ70" s="160"/>
      <c r="BA70" s="160"/>
      <c r="BB70" s="160"/>
    </row>
    <row r="71" spans="1:54" ht="12.75">
      <c r="A71" s="159" t="s">
        <v>477</v>
      </c>
      <c r="B71" s="173" t="s">
        <v>488</v>
      </c>
      <c r="C71" s="305">
        <v>611127724</v>
      </c>
      <c r="D71" s="302">
        <v>1887.3304</v>
      </c>
      <c r="E71" s="302">
        <v>1899.6276</v>
      </c>
      <c r="F71" s="155">
        <v>30</v>
      </c>
      <c r="G71" s="252">
        <f>E71-D71</f>
        <v>12.297199999999975</v>
      </c>
      <c r="H71" s="155"/>
      <c r="I71" s="155">
        <f>ROUND(F71*G71+H71,0)</f>
        <v>369</v>
      </c>
      <c r="J71" s="243"/>
      <c r="K71" s="160"/>
      <c r="L71" s="160"/>
      <c r="M71" s="160"/>
      <c r="N71" s="160"/>
      <c r="O71" s="160"/>
      <c r="P71" s="189"/>
      <c r="Q71" s="160"/>
      <c r="R71" s="244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243"/>
      <c r="AU71" s="160"/>
      <c r="AV71" s="160"/>
      <c r="AW71" s="160"/>
      <c r="AX71" s="160"/>
      <c r="AY71" s="160"/>
      <c r="AZ71" s="189"/>
      <c r="BA71" s="160"/>
      <c r="BB71" s="244"/>
    </row>
    <row r="72" spans="1:54" ht="12.75">
      <c r="A72" s="103"/>
      <c r="B72" s="173" t="s">
        <v>542</v>
      </c>
      <c r="C72" s="305"/>
      <c r="D72" s="306"/>
      <c r="E72" s="306"/>
      <c r="F72" s="155"/>
      <c r="G72" s="212"/>
      <c r="H72" s="155"/>
      <c r="I72" s="155"/>
      <c r="J72" s="243"/>
      <c r="K72" s="160" t="s">
        <v>576</v>
      </c>
      <c r="L72" s="160"/>
      <c r="M72" s="160"/>
      <c r="N72" s="160"/>
      <c r="O72" s="160"/>
      <c r="P72" s="189"/>
      <c r="Q72" s="160"/>
      <c r="R72" s="244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243"/>
      <c r="AU72" s="160"/>
      <c r="AV72" s="160"/>
      <c r="AW72" s="160"/>
      <c r="AX72" s="160"/>
      <c r="AY72" s="160"/>
      <c r="AZ72" s="189"/>
      <c r="BA72" s="160"/>
      <c r="BB72" s="244"/>
    </row>
    <row r="73" spans="1:54" ht="12.75">
      <c r="A73" s="96"/>
      <c r="B73" s="312"/>
      <c r="C73" s="171"/>
      <c r="D73" s="212"/>
      <c r="E73" s="212"/>
      <c r="F73" s="155"/>
      <c r="G73" s="212"/>
      <c r="H73" s="155"/>
      <c r="I73" s="155"/>
      <c r="J73" s="243"/>
      <c r="K73" s="160" t="s">
        <v>577</v>
      </c>
      <c r="L73" s="160"/>
      <c r="M73" s="160"/>
      <c r="N73" s="160"/>
      <c r="O73" s="160"/>
      <c r="P73" s="189"/>
      <c r="Q73" s="160"/>
      <c r="R73" s="244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243"/>
      <c r="AU73" s="160"/>
      <c r="AV73" s="160"/>
      <c r="AW73" s="160"/>
      <c r="AX73" s="160"/>
      <c r="AY73" s="160"/>
      <c r="AZ73" s="189"/>
      <c r="BA73" s="160"/>
      <c r="BB73" s="244"/>
    </row>
    <row r="74" spans="1:54" ht="12.75">
      <c r="A74" s="103"/>
      <c r="B74" s="148"/>
      <c r="C74" s="150"/>
      <c r="D74" s="150"/>
      <c r="E74" s="150"/>
      <c r="F74" s="150" t="s">
        <v>264</v>
      </c>
      <c r="G74" s="150"/>
      <c r="H74" s="151"/>
      <c r="I74" s="235">
        <f>ROUND((SUM(I50:I69)-I73),0)</f>
        <v>211361</v>
      </c>
      <c r="J74" s="243"/>
      <c r="K74" s="160"/>
      <c r="L74" s="160"/>
      <c r="M74" s="160"/>
      <c r="N74" s="160"/>
      <c r="O74" s="160"/>
      <c r="P74" s="189"/>
      <c r="Q74" s="160"/>
      <c r="R74" s="244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243"/>
      <c r="AU74" s="160"/>
      <c r="AV74" s="160"/>
      <c r="AW74" s="160"/>
      <c r="AX74" s="160"/>
      <c r="AY74" s="160"/>
      <c r="AZ74" s="189"/>
      <c r="BA74" s="160"/>
      <c r="BB74" s="244"/>
    </row>
    <row r="75" spans="1:54" ht="12.75">
      <c r="A75" s="102"/>
      <c r="B75" s="150"/>
      <c r="C75" s="150"/>
      <c r="D75" s="150"/>
      <c r="E75" s="150"/>
      <c r="F75" s="150"/>
      <c r="G75" s="150" t="s">
        <v>265</v>
      </c>
      <c r="H75" s="151"/>
      <c r="I75" s="235">
        <f>ROUND((I18+I20-I47-I74),0)</f>
        <v>5965471</v>
      </c>
      <c r="J75" s="160"/>
      <c r="K75" s="160">
        <f>I18+I20+I22-I47-I74</f>
        <v>6036204</v>
      </c>
      <c r="L75" s="160"/>
      <c r="M75" s="160"/>
      <c r="N75" s="160"/>
      <c r="O75" s="160"/>
      <c r="P75" s="190"/>
      <c r="Q75" s="160"/>
      <c r="R75" s="24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60"/>
      <c r="AU75" s="160"/>
      <c r="AV75" s="160"/>
      <c r="AW75" s="160"/>
      <c r="AX75" s="160"/>
      <c r="AY75" s="160"/>
      <c r="AZ75" s="190"/>
      <c r="BA75" s="160"/>
      <c r="BB75" s="240"/>
    </row>
    <row r="76" spans="1:54" ht="12.75">
      <c r="A76" s="96" t="s">
        <v>272</v>
      </c>
      <c r="B76" s="102" t="s">
        <v>266</v>
      </c>
      <c r="C76" s="150"/>
      <c r="D76" s="150"/>
      <c r="E76" s="150"/>
      <c r="F76" s="150"/>
      <c r="G76" s="150"/>
      <c r="H76" s="150"/>
      <c r="I76" s="151"/>
      <c r="J76" s="160"/>
      <c r="K76" s="160"/>
      <c r="L76" s="160"/>
      <c r="M76" s="160"/>
      <c r="N76" s="160"/>
      <c r="O76" s="160"/>
      <c r="P76" s="190"/>
      <c r="Q76" s="160"/>
      <c r="R76" s="24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60"/>
      <c r="AU76" s="160"/>
      <c r="AV76" s="160"/>
      <c r="AW76" s="160"/>
      <c r="AX76" s="160"/>
      <c r="AY76" s="160"/>
      <c r="AZ76" s="190"/>
      <c r="BA76" s="160"/>
      <c r="BB76" s="240"/>
    </row>
    <row r="77" spans="1:54" ht="12.75">
      <c r="A77" s="143" t="s">
        <v>270</v>
      </c>
      <c r="B77" s="143" t="s">
        <v>267</v>
      </c>
      <c r="C77" s="171">
        <v>18705639</v>
      </c>
      <c r="D77" s="234">
        <v>18826</v>
      </c>
      <c r="E77" s="234">
        <v>18866.5</v>
      </c>
      <c r="F77" s="175">
        <v>30</v>
      </c>
      <c r="G77" s="322">
        <f>E77-D77</f>
        <v>40.5</v>
      </c>
      <c r="H77" s="143">
        <v>1255</v>
      </c>
      <c r="I77" s="175">
        <f>F77*G77+H77</f>
        <v>2470</v>
      </c>
      <c r="J77" s="160"/>
      <c r="K77" s="160"/>
      <c r="L77" s="160"/>
      <c r="M77" s="160"/>
      <c r="N77" s="160"/>
      <c r="O77" s="160"/>
      <c r="P77" s="190"/>
      <c r="Q77" s="160"/>
      <c r="R77" s="24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60"/>
      <c r="AU77" s="160"/>
      <c r="AV77" s="160"/>
      <c r="AW77" s="160"/>
      <c r="AX77" s="160"/>
      <c r="AY77" s="160"/>
      <c r="AZ77" s="190"/>
      <c r="BA77" s="160"/>
      <c r="BB77" s="240"/>
    </row>
    <row r="78" spans="1:54" ht="12.75">
      <c r="A78" s="144"/>
      <c r="B78" s="144" t="s">
        <v>268</v>
      </c>
      <c r="C78" s="169"/>
      <c r="D78" s="144"/>
      <c r="E78" s="144"/>
      <c r="F78" s="164"/>
      <c r="G78" s="144"/>
      <c r="H78" s="144"/>
      <c r="I78" s="144"/>
      <c r="J78" s="160"/>
      <c r="K78" s="160"/>
      <c r="L78" s="160"/>
      <c r="M78" s="160"/>
      <c r="N78" s="160"/>
      <c r="O78" s="160"/>
      <c r="P78" s="190"/>
      <c r="Q78" s="160"/>
      <c r="R78" s="24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60"/>
      <c r="AU78" s="160"/>
      <c r="AV78" s="160"/>
      <c r="AW78" s="160"/>
      <c r="AX78" s="160"/>
      <c r="AY78" s="160"/>
      <c r="AZ78" s="190"/>
      <c r="BA78" s="160"/>
      <c r="BB78" s="240"/>
    </row>
    <row r="79" spans="1:54" ht="12.75">
      <c r="A79" s="143" t="s">
        <v>271</v>
      </c>
      <c r="B79" s="143" t="s">
        <v>269</v>
      </c>
      <c r="C79" s="171">
        <v>18705843</v>
      </c>
      <c r="D79" s="234">
        <v>1070.8</v>
      </c>
      <c r="E79" s="234">
        <v>1070.8</v>
      </c>
      <c r="F79" s="175">
        <v>30</v>
      </c>
      <c r="G79" s="233">
        <f>E79-D79</f>
        <v>0</v>
      </c>
      <c r="H79" s="143">
        <v>0</v>
      </c>
      <c r="I79" s="175">
        <f>F79*G79+H79</f>
        <v>0</v>
      </c>
      <c r="J79" s="160"/>
      <c r="K79" s="160"/>
      <c r="L79" s="160"/>
      <c r="M79" s="160"/>
      <c r="N79" s="160"/>
      <c r="O79" s="160"/>
      <c r="P79" s="190"/>
      <c r="Q79" s="160"/>
      <c r="R79" s="24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60"/>
      <c r="AU79" s="160"/>
      <c r="AV79" s="160"/>
      <c r="AW79" s="160"/>
      <c r="AX79" s="160"/>
      <c r="AY79" s="160"/>
      <c r="AZ79" s="190"/>
      <c r="BA79" s="160"/>
      <c r="BB79" s="240"/>
    </row>
    <row r="80" spans="1:54" ht="12.75">
      <c r="A80" s="144"/>
      <c r="B80" s="144" t="s">
        <v>268</v>
      </c>
      <c r="C80" s="169"/>
      <c r="D80" s="144"/>
      <c r="E80" s="144"/>
      <c r="F80" s="164"/>
      <c r="G80" s="144"/>
      <c r="H80" s="144"/>
      <c r="I80" s="144"/>
      <c r="J80" s="160"/>
      <c r="K80" s="160"/>
      <c r="L80" s="160"/>
      <c r="M80" s="160"/>
      <c r="N80" s="160"/>
      <c r="O80" s="160"/>
      <c r="P80" s="190"/>
      <c r="Q80" s="160"/>
      <c r="R80" s="24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60"/>
      <c r="AU80" s="160"/>
      <c r="AV80" s="160"/>
      <c r="AW80" s="160"/>
      <c r="AX80" s="160"/>
      <c r="AY80" s="160"/>
      <c r="AZ80" s="190"/>
      <c r="BA80" s="160"/>
      <c r="BB80" s="240"/>
    </row>
    <row r="81" spans="1:54" ht="12.75">
      <c r="A81" s="102"/>
      <c r="B81" s="150"/>
      <c r="C81" s="217"/>
      <c r="D81" s="199"/>
      <c r="E81" s="218"/>
      <c r="F81" s="218" t="s">
        <v>273</v>
      </c>
      <c r="G81" s="219"/>
      <c r="H81" s="151"/>
      <c r="I81" s="155">
        <f>I77+I79</f>
        <v>2470</v>
      </c>
      <c r="J81" s="243"/>
      <c r="K81" s="160"/>
      <c r="L81" s="160"/>
      <c r="M81" s="160"/>
      <c r="N81" s="160"/>
      <c r="O81" s="160"/>
      <c r="P81" s="189"/>
      <c r="Q81" s="160"/>
      <c r="R81" s="244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243"/>
      <c r="AU81" s="160"/>
      <c r="AV81" s="160"/>
      <c r="AW81" s="160"/>
      <c r="AX81" s="160"/>
      <c r="AY81" s="160"/>
      <c r="AZ81" s="189"/>
      <c r="BA81" s="160"/>
      <c r="BB81" s="244"/>
    </row>
    <row r="82" spans="1:54" ht="12.75">
      <c r="A82" s="102"/>
      <c r="B82" s="150"/>
      <c r="C82" s="217"/>
      <c r="D82" s="199"/>
      <c r="E82" s="218"/>
      <c r="F82" s="218"/>
      <c r="G82" s="219" t="s">
        <v>274</v>
      </c>
      <c r="H82" s="151"/>
      <c r="I82" s="235">
        <f>I75+I81</f>
        <v>5967941</v>
      </c>
      <c r="J82" s="160"/>
      <c r="K82" s="160"/>
      <c r="L82" s="160"/>
      <c r="M82" s="160"/>
      <c r="N82" s="160"/>
      <c r="O82" s="160"/>
      <c r="P82" s="190"/>
      <c r="Q82" s="160"/>
      <c r="R82" s="24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60"/>
      <c r="AU82" s="160"/>
      <c r="AV82" s="160"/>
      <c r="AW82" s="160"/>
      <c r="AX82" s="160"/>
      <c r="AY82" s="160"/>
      <c r="AZ82" s="190"/>
      <c r="BA82" s="160"/>
      <c r="BB82" s="240"/>
    </row>
    <row r="83" spans="1:54" ht="12.75">
      <c r="A83" s="145" t="s">
        <v>275</v>
      </c>
      <c r="B83" s="146"/>
      <c r="C83" s="220"/>
      <c r="D83" s="202"/>
      <c r="E83" s="221"/>
      <c r="F83" s="221"/>
      <c r="G83" s="204"/>
      <c r="H83" s="146"/>
      <c r="I83" s="205"/>
      <c r="J83" s="160"/>
      <c r="K83" s="160"/>
      <c r="L83" s="160"/>
      <c r="M83" s="160"/>
      <c r="N83" s="160"/>
      <c r="O83" s="160"/>
      <c r="P83" s="190"/>
      <c r="Q83" s="160"/>
      <c r="R83" s="24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60"/>
      <c r="AU83" s="160"/>
      <c r="AV83" s="160"/>
      <c r="AW83" s="160"/>
      <c r="AX83" s="160"/>
      <c r="AY83" s="160"/>
      <c r="AZ83" s="190"/>
      <c r="BA83" s="160"/>
      <c r="BB83" s="240"/>
    </row>
    <row r="84" spans="1:54" ht="12.75">
      <c r="A84" s="222" t="s">
        <v>538</v>
      </c>
      <c r="B84" s="223"/>
      <c r="C84" s="223"/>
      <c r="D84" s="191"/>
      <c r="E84" s="148"/>
      <c r="F84" s="148"/>
      <c r="G84" s="148"/>
      <c r="H84" s="148"/>
      <c r="I84" s="209"/>
      <c r="J84" s="160"/>
      <c r="K84" s="160"/>
      <c r="L84" s="160"/>
      <c r="M84" s="160"/>
      <c r="N84" s="160"/>
      <c r="O84" s="160"/>
      <c r="P84" s="190"/>
      <c r="Q84" s="160"/>
      <c r="R84" s="24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60"/>
      <c r="AU84" s="160"/>
      <c r="AV84" s="160"/>
      <c r="AW84" s="160"/>
      <c r="AX84" s="160"/>
      <c r="AY84" s="160"/>
      <c r="AZ84" s="190"/>
      <c r="BA84" s="160"/>
      <c r="BB84" s="240"/>
    </row>
    <row r="85" spans="1:54" ht="12.75">
      <c r="A85" s="160" t="s">
        <v>279</v>
      </c>
      <c r="B85" s="160"/>
      <c r="C85" s="264"/>
      <c r="D85" s="181"/>
      <c r="E85" s="265"/>
      <c r="F85" s="265"/>
      <c r="G85" s="188"/>
      <c r="H85" s="160"/>
      <c r="I85" s="190"/>
      <c r="J85" s="160"/>
      <c r="K85" s="160"/>
      <c r="L85" s="160"/>
      <c r="M85" s="160"/>
      <c r="N85" s="160"/>
      <c r="O85" s="160"/>
      <c r="P85" s="190"/>
      <c r="Q85" s="160"/>
      <c r="R85" s="24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60"/>
      <c r="AU85" s="160"/>
      <c r="AV85" s="160"/>
      <c r="AW85" s="160"/>
      <c r="AX85" s="160"/>
      <c r="AY85" s="160"/>
      <c r="AZ85" s="190"/>
      <c r="BA85" s="160"/>
      <c r="BB85" s="240"/>
    </row>
    <row r="86" spans="1:54" ht="12.75">
      <c r="A86" s="160"/>
      <c r="B86" s="160"/>
      <c r="C86" s="181"/>
      <c r="D86" s="313" t="s">
        <v>280</v>
      </c>
      <c r="E86" s="313"/>
      <c r="F86" s="314"/>
      <c r="G86" s="243"/>
      <c r="H86" s="243"/>
      <c r="I86" s="189"/>
      <c r="J86" s="160"/>
      <c r="K86" s="160"/>
      <c r="L86" s="188"/>
      <c r="M86" s="188"/>
      <c r="N86" s="160"/>
      <c r="O86" s="160"/>
      <c r="P86" s="190"/>
      <c r="Q86" s="160"/>
      <c r="R86" s="24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60"/>
      <c r="AU86" s="160"/>
      <c r="AV86" s="188"/>
      <c r="AW86" s="188"/>
      <c r="AX86" s="160"/>
      <c r="AY86" s="160"/>
      <c r="AZ86" s="190"/>
      <c r="BA86" s="160"/>
      <c r="BB86" s="240"/>
    </row>
    <row r="87" spans="1:54" ht="12.75">
      <c r="A87" s="160"/>
      <c r="B87" s="160"/>
      <c r="C87" s="181"/>
      <c r="D87" s="313" t="s">
        <v>531</v>
      </c>
      <c r="E87" s="313"/>
      <c r="F87" s="314"/>
      <c r="G87" s="243"/>
      <c r="H87" s="243"/>
      <c r="I87" s="189"/>
      <c r="J87" s="243"/>
      <c r="K87" s="160"/>
      <c r="L87" s="160"/>
      <c r="M87" s="160"/>
      <c r="N87" s="160"/>
      <c r="O87" s="160"/>
      <c r="P87" s="189"/>
      <c r="Q87" s="160"/>
      <c r="R87" s="244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243"/>
      <c r="AU87" s="160"/>
      <c r="AV87" s="160"/>
      <c r="AW87" s="160"/>
      <c r="AX87" s="160"/>
      <c r="AY87" s="160"/>
      <c r="AZ87" s="189"/>
      <c r="BA87" s="160"/>
      <c r="BB87" s="244"/>
    </row>
    <row r="88" spans="1:54" ht="12.75">
      <c r="A88" s="160"/>
      <c r="B88" s="160"/>
      <c r="C88" s="264"/>
      <c r="D88" s="313" t="s">
        <v>539</v>
      </c>
      <c r="E88" s="313"/>
      <c r="F88" s="314"/>
      <c r="G88" s="243"/>
      <c r="H88" s="243"/>
      <c r="I88" s="189"/>
      <c r="J88" s="160"/>
      <c r="K88" s="160"/>
      <c r="L88" s="160"/>
      <c r="M88" s="160"/>
      <c r="N88" s="160"/>
      <c r="O88" s="160"/>
      <c r="P88" s="190"/>
      <c r="Q88" s="160"/>
      <c r="R88" s="24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60"/>
      <c r="AU88" s="160"/>
      <c r="AV88" s="160"/>
      <c r="AW88" s="160"/>
      <c r="AX88" s="160"/>
      <c r="AY88" s="160"/>
      <c r="AZ88" s="190"/>
      <c r="BA88" s="160"/>
      <c r="BB88" s="240"/>
    </row>
    <row r="89" spans="1:54" ht="12.75">
      <c r="A89" s="120"/>
      <c r="B89" s="120"/>
      <c r="C89" s="120"/>
      <c r="D89" s="120" t="s">
        <v>192</v>
      </c>
      <c r="E89" s="120"/>
      <c r="F89" s="120"/>
      <c r="G89" s="120"/>
      <c r="H89" s="120"/>
      <c r="I89" s="120"/>
      <c r="J89" s="160"/>
      <c r="K89" s="160"/>
      <c r="L89" s="160"/>
      <c r="M89" s="160"/>
      <c r="N89" s="160"/>
      <c r="O89" s="160"/>
      <c r="P89" s="190"/>
      <c r="Q89" s="160"/>
      <c r="R89" s="24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60" t="s">
        <v>530</v>
      </c>
      <c r="AU89" s="120"/>
      <c r="AV89" s="120"/>
      <c r="AW89" s="120"/>
      <c r="AX89" s="120"/>
      <c r="AY89" s="120"/>
      <c r="AZ89" s="120"/>
      <c r="BA89" s="120"/>
      <c r="BB89" s="120"/>
    </row>
    <row r="90" spans="1:54" ht="12.75">
      <c r="A90" s="120"/>
      <c r="B90" s="120"/>
      <c r="C90" s="120"/>
      <c r="D90" s="120" t="s">
        <v>193</v>
      </c>
      <c r="E90" s="120"/>
      <c r="F90" s="120"/>
      <c r="G90" s="120"/>
      <c r="H90" s="120"/>
      <c r="I90" s="120"/>
      <c r="J90" s="243"/>
      <c r="K90" s="160"/>
      <c r="L90" s="160"/>
      <c r="M90" s="160"/>
      <c r="N90" s="160"/>
      <c r="O90" s="160"/>
      <c r="P90" s="189"/>
      <c r="Q90" s="160"/>
      <c r="R90" s="244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60" t="s">
        <v>535</v>
      </c>
      <c r="AU90" s="120"/>
      <c r="AV90" s="120"/>
      <c r="AW90" s="120"/>
      <c r="AX90" s="120"/>
      <c r="AY90" s="120"/>
      <c r="AZ90" s="120"/>
      <c r="BA90" s="120"/>
      <c r="BB90" s="120"/>
    </row>
    <row r="91" spans="1:54" ht="13.5">
      <c r="A91" s="120"/>
      <c r="B91" s="120"/>
      <c r="C91" s="120"/>
      <c r="D91" s="120"/>
      <c r="E91" s="120"/>
      <c r="F91" s="120"/>
      <c r="G91" s="120"/>
      <c r="H91" s="120"/>
      <c r="I91" s="120"/>
      <c r="J91" s="243"/>
      <c r="K91" s="160"/>
      <c r="L91" s="160"/>
      <c r="M91" s="160"/>
      <c r="N91" s="160"/>
      <c r="O91" s="160"/>
      <c r="P91" s="189"/>
      <c r="Q91" s="160"/>
      <c r="R91" s="244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60"/>
      <c r="AU91" s="120" t="s">
        <v>4</v>
      </c>
      <c r="AV91" s="120"/>
      <c r="AW91" s="120"/>
      <c r="AX91" s="120"/>
      <c r="AY91" s="254" t="s">
        <v>140</v>
      </c>
      <c r="AZ91" s="196" t="s">
        <v>557</v>
      </c>
      <c r="BA91" s="120"/>
      <c r="BB91" s="120"/>
    </row>
    <row r="92" spans="1:54" ht="12.75">
      <c r="A92" s="120"/>
      <c r="B92" s="120"/>
      <c r="C92" s="120" t="s">
        <v>194</v>
      </c>
      <c r="D92" s="120"/>
      <c r="E92" s="120"/>
      <c r="F92" s="120"/>
      <c r="G92" s="120"/>
      <c r="H92" s="120"/>
      <c r="I92" s="120"/>
      <c r="J92" s="243"/>
      <c r="K92" s="160"/>
      <c r="L92" s="160"/>
      <c r="M92" s="160"/>
      <c r="N92" s="160"/>
      <c r="O92" s="160"/>
      <c r="P92" s="189"/>
      <c r="Q92" s="160"/>
      <c r="R92" s="244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50" t="s">
        <v>108</v>
      </c>
      <c r="AU92" s="150"/>
      <c r="AV92" s="150"/>
      <c r="AW92" s="150"/>
      <c r="AX92" s="150"/>
      <c r="AY92" s="151"/>
      <c r="AZ92" s="96" t="s">
        <v>175</v>
      </c>
      <c r="BA92" s="96"/>
      <c r="BB92" s="96" t="s">
        <v>109</v>
      </c>
    </row>
    <row r="93" spans="1:54" ht="12.75">
      <c r="A93" s="120"/>
      <c r="B93" s="120"/>
      <c r="C93" s="120"/>
      <c r="D93" s="277" t="s">
        <v>600</v>
      </c>
      <c r="E93" s="277"/>
      <c r="F93" s="120"/>
      <c r="G93" s="120"/>
      <c r="H93" s="120"/>
      <c r="I93" s="120"/>
      <c r="J93" s="243"/>
      <c r="K93" s="160"/>
      <c r="L93" s="160"/>
      <c r="M93" s="160"/>
      <c r="N93" s="160"/>
      <c r="O93" s="160"/>
      <c r="P93" s="189"/>
      <c r="Q93" s="160"/>
      <c r="R93" s="244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273" t="s">
        <v>301</v>
      </c>
      <c r="AU93" s="150"/>
      <c r="AV93" s="150"/>
      <c r="AW93" s="150"/>
      <c r="AX93" s="150"/>
      <c r="AY93" s="151"/>
      <c r="AZ93" s="235">
        <v>40320</v>
      </c>
      <c r="BA93" s="199"/>
      <c r="BB93" s="299">
        <f>AZ93*BB58</f>
        <v>175359.99997028065</v>
      </c>
    </row>
    <row r="94" spans="1:54" ht="12.75">
      <c r="A94" s="120" t="s">
        <v>528</v>
      </c>
      <c r="B94" s="120"/>
      <c r="C94" s="120"/>
      <c r="D94" s="120"/>
      <c r="E94" s="120"/>
      <c r="F94" s="120"/>
      <c r="G94" s="120"/>
      <c r="H94" s="120"/>
      <c r="I94" s="120"/>
      <c r="J94" s="243"/>
      <c r="K94" s="160"/>
      <c r="L94" s="160"/>
      <c r="M94" s="160"/>
      <c r="N94" s="160"/>
      <c r="O94" s="160"/>
      <c r="P94" s="189"/>
      <c r="Q94" s="160"/>
      <c r="R94" s="244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273" t="s">
        <v>300</v>
      </c>
      <c r="AU94" s="150"/>
      <c r="AV94" s="150"/>
      <c r="AW94" s="150"/>
      <c r="AX94" s="150"/>
      <c r="AY94" s="151"/>
      <c r="AZ94" s="235">
        <f>AZ131-SUM(AZ112:AZ120)-AZ109-AZ103-AZ96-AZ95-AZ93</f>
        <v>4921946</v>
      </c>
      <c r="BA94" s="199"/>
      <c r="BB94" s="299">
        <f>AZ94*BB58</f>
        <v>21406558.79002289</v>
      </c>
    </row>
    <row r="95" spans="1:54" ht="12.75">
      <c r="A95" s="120" t="s">
        <v>196</v>
      </c>
      <c r="B95" s="120"/>
      <c r="C95" s="120"/>
      <c r="D95" s="120"/>
      <c r="E95" s="120"/>
      <c r="F95" s="120"/>
      <c r="G95" s="120"/>
      <c r="H95" s="120"/>
      <c r="I95" s="120"/>
      <c r="J95" s="243"/>
      <c r="K95" s="243"/>
      <c r="L95" s="160"/>
      <c r="M95" s="160"/>
      <c r="N95" s="160"/>
      <c r="O95" s="160"/>
      <c r="P95" s="189"/>
      <c r="Q95" s="160"/>
      <c r="R95" s="244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273" t="s">
        <v>537</v>
      </c>
      <c r="AU95" s="150"/>
      <c r="AV95" s="150"/>
      <c r="AW95" s="150"/>
      <c r="AX95" s="150"/>
      <c r="AY95" s="151"/>
      <c r="AZ95" s="235">
        <v>76757</v>
      </c>
      <c r="BA95" s="199"/>
      <c r="BB95" s="299">
        <f>AZ95*BB58</f>
        <v>333832.03168945515</v>
      </c>
    </row>
    <row r="96" spans="1:54" ht="12.75">
      <c r="A96" s="120" t="s">
        <v>198</v>
      </c>
      <c r="B96" s="120"/>
      <c r="C96" s="120"/>
      <c r="D96" s="120"/>
      <c r="E96" s="120"/>
      <c r="F96" s="120" t="s">
        <v>197</v>
      </c>
      <c r="G96" s="120"/>
      <c r="H96" s="120"/>
      <c r="I96" s="120"/>
      <c r="J96" s="243"/>
      <c r="K96" s="243"/>
      <c r="L96" s="160"/>
      <c r="M96" s="160"/>
      <c r="N96" s="160"/>
      <c r="O96" s="160"/>
      <c r="P96" s="189"/>
      <c r="Q96" s="160"/>
      <c r="R96" s="244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255" t="s">
        <v>85</v>
      </c>
      <c r="AU96" s="146"/>
      <c r="AV96" s="146"/>
      <c r="AW96" s="146"/>
      <c r="AX96" s="146"/>
      <c r="AY96" s="147"/>
      <c r="AZ96" s="300">
        <f>SUM(AZ97:AZ102)</f>
        <v>773008</v>
      </c>
      <c r="BA96" s="202"/>
      <c r="BB96" s="299">
        <f>AZ96*BB58</f>
        <v>3361971.3010175275</v>
      </c>
    </row>
    <row r="97" spans="1:54" ht="12.75">
      <c r="A97" s="143" t="s">
        <v>335</v>
      </c>
      <c r="B97" s="171" t="s">
        <v>199</v>
      </c>
      <c r="C97" s="143" t="s">
        <v>200</v>
      </c>
      <c r="D97" s="224" t="s">
        <v>286</v>
      </c>
      <c r="E97" s="225"/>
      <c r="F97" s="143" t="s">
        <v>201</v>
      </c>
      <c r="G97" s="143" t="s">
        <v>404</v>
      </c>
      <c r="H97" s="143" t="s">
        <v>202</v>
      </c>
      <c r="I97" s="143" t="s">
        <v>191</v>
      </c>
      <c r="J97" s="243"/>
      <c r="K97" s="243"/>
      <c r="L97" s="160"/>
      <c r="M97" s="160"/>
      <c r="N97" s="160"/>
      <c r="O97" s="160"/>
      <c r="P97" s="189"/>
      <c r="Q97" s="160"/>
      <c r="R97" s="244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59" t="s">
        <v>87</v>
      </c>
      <c r="AU97" s="160"/>
      <c r="AV97" s="160"/>
      <c r="AW97" s="160"/>
      <c r="AX97" s="160"/>
      <c r="AY97" s="161"/>
      <c r="AZ97" s="163">
        <v>248468</v>
      </c>
      <c r="BA97" s="181"/>
      <c r="BB97" s="299">
        <f>AZ97*BB58</f>
        <v>1080638.6029914606</v>
      </c>
    </row>
    <row r="98" spans="1:54" ht="12.75">
      <c r="A98" s="173"/>
      <c r="B98" s="173"/>
      <c r="C98" s="173"/>
      <c r="D98" s="143" t="s">
        <v>203</v>
      </c>
      <c r="E98" s="145" t="s">
        <v>204</v>
      </c>
      <c r="F98" s="173" t="s">
        <v>205</v>
      </c>
      <c r="G98" s="173" t="s">
        <v>190</v>
      </c>
      <c r="H98" s="173"/>
      <c r="I98" s="173" t="s">
        <v>206</v>
      </c>
      <c r="J98" s="243"/>
      <c r="K98" s="243"/>
      <c r="L98" s="160"/>
      <c r="M98" s="160"/>
      <c r="N98" s="160"/>
      <c r="O98" s="160"/>
      <c r="P98" s="189"/>
      <c r="Q98" s="160"/>
      <c r="R98" s="244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59" t="s">
        <v>88</v>
      </c>
      <c r="AU98" s="160"/>
      <c r="AV98" s="160"/>
      <c r="AW98" s="160"/>
      <c r="AX98" s="160"/>
      <c r="AY98" s="161"/>
      <c r="AZ98" s="163">
        <v>338822</v>
      </c>
      <c r="BA98" s="181"/>
      <c r="BB98" s="299">
        <f>AZ98*BB58</f>
        <v>1473606.7934010522</v>
      </c>
    </row>
    <row r="99" spans="1:54" ht="12.75">
      <c r="A99" s="144"/>
      <c r="B99" s="144"/>
      <c r="C99" s="144"/>
      <c r="D99" s="144" t="s">
        <v>207</v>
      </c>
      <c r="E99" s="103" t="s">
        <v>207</v>
      </c>
      <c r="F99" s="144" t="s">
        <v>208</v>
      </c>
      <c r="G99" s="144"/>
      <c r="H99" s="144"/>
      <c r="I99" s="144"/>
      <c r="J99" s="160"/>
      <c r="K99" s="160"/>
      <c r="L99" s="160"/>
      <c r="M99" s="160"/>
      <c r="N99" s="160"/>
      <c r="O99" s="160"/>
      <c r="P99" s="189"/>
      <c r="Q99" s="160"/>
      <c r="R99" s="244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59" t="s">
        <v>89</v>
      </c>
      <c r="AU99" s="160"/>
      <c r="AV99" s="160"/>
      <c r="AW99" s="160"/>
      <c r="AX99" s="160"/>
      <c r="AY99" s="161"/>
      <c r="AZ99" s="163">
        <v>184168</v>
      </c>
      <c r="BA99" s="181"/>
      <c r="BB99" s="299">
        <f>AZ99*BB58</f>
        <v>800984.6347848871</v>
      </c>
    </row>
    <row r="100" spans="1:54" ht="12.75">
      <c r="A100" s="152">
        <v>1</v>
      </c>
      <c r="B100" s="152">
        <v>2</v>
      </c>
      <c r="C100" s="152">
        <v>3</v>
      </c>
      <c r="D100" s="152">
        <v>4</v>
      </c>
      <c r="E100" s="152">
        <v>5</v>
      </c>
      <c r="F100" s="152">
        <v>6</v>
      </c>
      <c r="G100" s="152">
        <v>7</v>
      </c>
      <c r="H100" s="152">
        <v>8</v>
      </c>
      <c r="I100" s="152">
        <v>9</v>
      </c>
      <c r="J100" s="160"/>
      <c r="K100" s="160"/>
      <c r="L100" s="160"/>
      <c r="M100" s="160"/>
      <c r="N100" s="160"/>
      <c r="O100" s="160"/>
      <c r="P100" s="189"/>
      <c r="Q100" s="160"/>
      <c r="R100" s="244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59" t="s">
        <v>90</v>
      </c>
      <c r="AU100" s="160"/>
      <c r="AV100" s="160"/>
      <c r="AW100" s="160"/>
      <c r="AX100" s="160"/>
      <c r="AY100" s="161"/>
      <c r="AZ100" s="163">
        <v>150</v>
      </c>
      <c r="BA100" s="181"/>
      <c r="BB100" s="299">
        <f>AZ100*BB58</f>
        <v>652.3809522703893</v>
      </c>
    </row>
    <row r="101" spans="1:54" ht="12.75">
      <c r="A101" s="103"/>
      <c r="B101" s="148"/>
      <c r="C101" s="320" t="s">
        <v>287</v>
      </c>
      <c r="D101" s="320"/>
      <c r="E101" s="148"/>
      <c r="F101" s="148"/>
      <c r="G101" s="148"/>
      <c r="H101" s="148"/>
      <c r="I101" s="149"/>
      <c r="J101" s="160"/>
      <c r="K101" s="160"/>
      <c r="L101" s="160"/>
      <c r="M101" s="160"/>
      <c r="N101" s="160"/>
      <c r="O101" s="160"/>
      <c r="P101" s="189"/>
      <c r="Q101" s="160"/>
      <c r="R101" s="244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59" t="s">
        <v>91</v>
      </c>
      <c r="AU101" s="160"/>
      <c r="AV101" s="160"/>
      <c r="AW101" s="160"/>
      <c r="AX101" s="160"/>
      <c r="AY101" s="161"/>
      <c r="AZ101" s="163">
        <v>500</v>
      </c>
      <c r="BA101" s="181"/>
      <c r="BB101" s="299">
        <f>AZ101*BB58</f>
        <v>2174.603174234631</v>
      </c>
    </row>
    <row r="102" spans="1:54" ht="12.75">
      <c r="A102" s="96"/>
      <c r="B102" s="102" t="s">
        <v>526</v>
      </c>
      <c r="C102" s="150"/>
      <c r="D102" s="150"/>
      <c r="E102" s="150"/>
      <c r="F102" s="150"/>
      <c r="G102" s="150"/>
      <c r="H102" s="150"/>
      <c r="I102" s="151"/>
      <c r="J102" s="160"/>
      <c r="K102" s="160"/>
      <c r="L102" s="160"/>
      <c r="M102" s="160"/>
      <c r="N102" s="160"/>
      <c r="O102" s="160"/>
      <c r="P102" s="189"/>
      <c r="Q102" s="160"/>
      <c r="R102" s="244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03" t="s">
        <v>41</v>
      </c>
      <c r="AU102" s="148"/>
      <c r="AV102" s="148"/>
      <c r="AW102" s="148"/>
      <c r="AX102" s="148"/>
      <c r="AY102" s="149"/>
      <c r="AZ102" s="164">
        <v>900</v>
      </c>
      <c r="BA102" s="191"/>
      <c r="BB102" s="299">
        <f>AZ102*BB58</f>
        <v>3914.2857136223356</v>
      </c>
    </row>
    <row r="103" spans="1:54" ht="12.75">
      <c r="A103" s="171">
        <v>1</v>
      </c>
      <c r="B103" s="143" t="s">
        <v>249</v>
      </c>
      <c r="C103" s="197">
        <v>804152757</v>
      </c>
      <c r="D103" s="230">
        <v>2310.1369</v>
      </c>
      <c r="E103" s="230">
        <v>2360.9919</v>
      </c>
      <c r="F103" s="155">
        <v>36000</v>
      </c>
      <c r="G103" s="252">
        <f>E103-D103</f>
        <v>50.85500000000002</v>
      </c>
      <c r="H103" s="96"/>
      <c r="I103" s="155">
        <f>F103*G103+H103</f>
        <v>1830780.0000000007</v>
      </c>
      <c r="J103" s="160"/>
      <c r="K103" s="160"/>
      <c r="L103" s="160"/>
      <c r="M103" s="160"/>
      <c r="N103" s="160"/>
      <c r="O103" s="160"/>
      <c r="P103" s="189"/>
      <c r="Q103" s="160"/>
      <c r="R103" s="244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255" t="s">
        <v>303</v>
      </c>
      <c r="AU103" s="146"/>
      <c r="AV103" s="146"/>
      <c r="AW103" s="146"/>
      <c r="AX103" s="146"/>
      <c r="AY103" s="147"/>
      <c r="AZ103" s="300">
        <f>SUM(AZ104:AZ108)</f>
        <v>7962</v>
      </c>
      <c r="BA103" s="202"/>
      <c r="BB103" s="299">
        <f>AZ103*BB58</f>
        <v>34628.38094651226</v>
      </c>
    </row>
    <row r="104" spans="1:54" ht="12.75">
      <c r="A104" s="144"/>
      <c r="B104" s="103" t="s">
        <v>250</v>
      </c>
      <c r="C104" s="213">
        <v>109054169</v>
      </c>
      <c r="D104" s="230">
        <v>2865.4031</v>
      </c>
      <c r="E104" s="230">
        <v>2924.2249</v>
      </c>
      <c r="F104" s="155">
        <v>36000</v>
      </c>
      <c r="G104" s="252">
        <f>E104-D104</f>
        <v>58.82180000000017</v>
      </c>
      <c r="H104" s="96"/>
      <c r="I104" s="155">
        <f>F104*G104+H104</f>
        <v>2117584.800000006</v>
      </c>
      <c r="J104" s="160"/>
      <c r="K104" s="160"/>
      <c r="L104" s="188"/>
      <c r="M104" s="188"/>
      <c r="N104" s="160"/>
      <c r="O104" s="160"/>
      <c r="P104" s="189"/>
      <c r="Q104" s="160"/>
      <c r="R104" s="244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59"/>
      <c r="AU104" s="160" t="s">
        <v>389</v>
      </c>
      <c r="AV104" s="160"/>
      <c r="AW104" s="160"/>
      <c r="AX104" s="160"/>
      <c r="AY104" s="161"/>
      <c r="AZ104" s="163">
        <v>960</v>
      </c>
      <c r="BA104" s="181"/>
      <c r="BB104" s="299">
        <f>AZ104*BB58</f>
        <v>4175.238094530491</v>
      </c>
    </row>
    <row r="105" spans="1:54" ht="12.75">
      <c r="A105" s="102"/>
      <c r="B105" s="150"/>
      <c r="C105" s="148"/>
      <c r="D105" s="150"/>
      <c r="E105" s="150"/>
      <c r="F105" s="214" t="s">
        <v>212</v>
      </c>
      <c r="G105" s="150"/>
      <c r="H105" s="151"/>
      <c r="I105" s="155">
        <f>I103+I104</f>
        <v>3948364.8000000063</v>
      </c>
      <c r="J105" s="160"/>
      <c r="K105" s="160"/>
      <c r="L105" s="160"/>
      <c r="M105" s="160"/>
      <c r="N105" s="160"/>
      <c r="O105" s="160"/>
      <c r="P105" s="190"/>
      <c r="Q105" s="160"/>
      <c r="R105" s="16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59" t="s">
        <v>385</v>
      </c>
      <c r="AU105" s="160"/>
      <c r="AV105" s="160" t="s">
        <v>304</v>
      </c>
      <c r="AW105" s="160"/>
      <c r="AX105" s="160"/>
      <c r="AY105" s="161"/>
      <c r="AZ105" s="163">
        <v>1760</v>
      </c>
      <c r="BA105" s="181"/>
      <c r="BB105" s="299">
        <f>AZ105*BB58</f>
        <v>7654.603173305901</v>
      </c>
    </row>
    <row r="106" spans="1:54" ht="12.75">
      <c r="A106" s="96" t="s">
        <v>213</v>
      </c>
      <c r="B106" s="102" t="s">
        <v>214</v>
      </c>
      <c r="C106" s="150"/>
      <c r="D106" s="150"/>
      <c r="E106" s="150"/>
      <c r="F106" s="150"/>
      <c r="G106" s="150"/>
      <c r="H106" s="150"/>
      <c r="I106" s="151"/>
      <c r="J106" s="160"/>
      <c r="K106" s="160"/>
      <c r="L106" s="160"/>
      <c r="M106" s="160"/>
      <c r="N106" s="160"/>
      <c r="O106" s="160"/>
      <c r="P106" s="190"/>
      <c r="Q106" s="160"/>
      <c r="R106" s="16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59" t="s">
        <v>385</v>
      </c>
      <c r="AU106" s="160"/>
      <c r="AV106" s="160" t="s">
        <v>390</v>
      </c>
      <c r="AW106" s="160"/>
      <c r="AX106" s="160"/>
      <c r="AY106" s="161"/>
      <c r="AZ106" s="163">
        <v>0</v>
      </c>
      <c r="BA106" s="181"/>
      <c r="BB106" s="299">
        <f>AZ106*BB58</f>
        <v>0</v>
      </c>
    </row>
    <row r="107" spans="1:54" ht="12.75">
      <c r="A107" s="96" t="s">
        <v>215</v>
      </c>
      <c r="B107" s="96" t="s">
        <v>216</v>
      </c>
      <c r="C107" s="213">
        <v>109053225</v>
      </c>
      <c r="D107" s="230">
        <v>7495.5806</v>
      </c>
      <c r="E107" s="230">
        <v>7545.7784</v>
      </c>
      <c r="F107" s="155">
        <v>21000</v>
      </c>
      <c r="G107" s="252">
        <f>E107-D107</f>
        <v>50.197799999999916</v>
      </c>
      <c r="H107" s="96"/>
      <c r="I107" s="155">
        <f>F107*G107+H107</f>
        <v>1054153.7999999982</v>
      </c>
      <c r="J107" s="160"/>
      <c r="K107" s="160"/>
      <c r="L107" s="160"/>
      <c r="M107" s="160"/>
      <c r="N107" s="160"/>
      <c r="O107" s="160"/>
      <c r="P107" s="190"/>
      <c r="Q107" s="160"/>
      <c r="R107" s="16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60"/>
      <c r="AU107" s="160"/>
      <c r="AV107" s="160" t="s">
        <v>391</v>
      </c>
      <c r="AW107" s="160"/>
      <c r="AX107" s="160"/>
      <c r="AY107" s="160"/>
      <c r="AZ107" s="163">
        <v>160</v>
      </c>
      <c r="BA107" s="168"/>
      <c r="BB107" s="299">
        <f>AZ107*BB58</f>
        <v>695.873015755082</v>
      </c>
    </row>
    <row r="108" spans="1:54" ht="12.75">
      <c r="A108" s="96" t="s">
        <v>521</v>
      </c>
      <c r="B108" s="150" t="s">
        <v>524</v>
      </c>
      <c r="C108" s="148"/>
      <c r="D108" s="150"/>
      <c r="E108" s="150"/>
      <c r="F108" s="214"/>
      <c r="G108" s="150"/>
      <c r="H108" s="151"/>
      <c r="I108" s="155"/>
      <c r="J108" s="160"/>
      <c r="K108" s="160"/>
      <c r="L108" s="160"/>
      <c r="M108" s="160"/>
      <c r="N108" s="160"/>
      <c r="O108" s="160"/>
      <c r="P108" s="190"/>
      <c r="Q108" s="160"/>
      <c r="R108" s="16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03" t="s">
        <v>155</v>
      </c>
      <c r="AU108" s="148"/>
      <c r="AV108" s="208"/>
      <c r="AW108" s="208"/>
      <c r="AX108" s="148"/>
      <c r="AY108" s="149"/>
      <c r="AZ108" s="164">
        <v>5082</v>
      </c>
      <c r="BA108" s="191"/>
      <c r="BB108" s="299">
        <f>AZ108*BB58</f>
        <v>22102.66666292079</v>
      </c>
    </row>
    <row r="109" spans="1:54" ht="12.75">
      <c r="A109" s="96" t="s">
        <v>522</v>
      </c>
      <c r="B109" s="102" t="s">
        <v>525</v>
      </c>
      <c r="C109" s="150"/>
      <c r="D109" s="150"/>
      <c r="E109" s="150"/>
      <c r="F109" s="150"/>
      <c r="G109" s="150"/>
      <c r="H109" s="151"/>
      <c r="I109" s="280"/>
      <c r="J109" s="160"/>
      <c r="K109" s="160"/>
      <c r="L109" s="160"/>
      <c r="M109" s="160"/>
      <c r="N109" s="160"/>
      <c r="O109" s="160"/>
      <c r="P109" s="190"/>
      <c r="Q109" s="160"/>
      <c r="R109" s="244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255" t="s">
        <v>536</v>
      </c>
      <c r="AU109" s="146"/>
      <c r="AV109" s="146"/>
      <c r="AW109" s="146"/>
      <c r="AX109" s="146"/>
      <c r="AY109" s="147"/>
      <c r="AZ109" s="300">
        <f>AZ110+AZ111</f>
        <v>48155</v>
      </c>
      <c r="BA109" s="202"/>
      <c r="BB109" s="299">
        <f>AZ109*BB58</f>
        <v>209436.03171053733</v>
      </c>
    </row>
    <row r="110" spans="1:54" ht="12.75">
      <c r="A110" s="102" t="s">
        <v>523</v>
      </c>
      <c r="B110" s="102"/>
      <c r="C110" s="371"/>
      <c r="D110" s="372"/>
      <c r="E110" s="372"/>
      <c r="F110" s="373"/>
      <c r="G110" s="374"/>
      <c r="H110" s="151"/>
      <c r="I110" s="280"/>
      <c r="J110" s="160"/>
      <c r="K110" s="160"/>
      <c r="L110" s="160"/>
      <c r="M110" s="160"/>
      <c r="N110" s="160"/>
      <c r="O110" s="160"/>
      <c r="P110" s="190"/>
      <c r="Q110" s="160"/>
      <c r="R110" s="16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59" t="s">
        <v>93</v>
      </c>
      <c r="AU110" s="160"/>
      <c r="AV110" s="160"/>
      <c r="AW110" s="160"/>
      <c r="AX110" s="160"/>
      <c r="AY110" s="161"/>
      <c r="AZ110" s="163">
        <v>5802</v>
      </c>
      <c r="BA110" s="181"/>
      <c r="BB110" s="299">
        <f>AZ110*BB58</f>
        <v>25234.095233818658</v>
      </c>
    </row>
    <row r="111" spans="1:54" ht="12.75">
      <c r="A111" s="96" t="s">
        <v>219</v>
      </c>
      <c r="B111" s="102" t="s">
        <v>220</v>
      </c>
      <c r="C111" s="150"/>
      <c r="D111" s="150"/>
      <c r="E111" s="150"/>
      <c r="F111" s="150"/>
      <c r="G111" s="150"/>
      <c r="H111" s="150"/>
      <c r="I111" s="151"/>
      <c r="J111" s="160"/>
      <c r="K111" s="160"/>
      <c r="L111" s="160"/>
      <c r="M111" s="160"/>
      <c r="N111" s="160"/>
      <c r="O111" s="160"/>
      <c r="P111" s="160"/>
      <c r="Q111" s="160"/>
      <c r="R111" s="16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03" t="s">
        <v>94</v>
      </c>
      <c r="AU111" s="148"/>
      <c r="AV111" s="148"/>
      <c r="AW111" s="148"/>
      <c r="AX111" s="148"/>
      <c r="AY111" s="149"/>
      <c r="AZ111" s="164">
        <v>42353</v>
      </c>
      <c r="BA111" s="191"/>
      <c r="BB111" s="299">
        <f>AZ111*BB58</f>
        <v>184201.93647671866</v>
      </c>
    </row>
    <row r="112" spans="1:54" ht="12.75">
      <c r="A112" s="143" t="s">
        <v>221</v>
      </c>
      <c r="B112" s="143" t="s">
        <v>224</v>
      </c>
      <c r="C112" s="197"/>
      <c r="D112" s="171"/>
      <c r="E112" s="171"/>
      <c r="F112" s="175"/>
      <c r="G112" s="171"/>
      <c r="H112" s="171"/>
      <c r="I112" s="171"/>
      <c r="J112" s="160"/>
      <c r="K112" s="160"/>
      <c r="L112" s="160"/>
      <c r="M112" s="160"/>
      <c r="N112" s="160"/>
      <c r="O112" s="160"/>
      <c r="P112" s="160"/>
      <c r="Q112" s="160"/>
      <c r="R112" s="16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273" t="s">
        <v>392</v>
      </c>
      <c r="AU112" s="150"/>
      <c r="AV112" s="150"/>
      <c r="AW112" s="150"/>
      <c r="AX112" s="150"/>
      <c r="AY112" s="151"/>
      <c r="AZ112" s="235">
        <v>9200</v>
      </c>
      <c r="BA112" s="199"/>
      <c r="BB112" s="299">
        <f>AZ112*BB58</f>
        <v>40012.69840591721</v>
      </c>
    </row>
    <row r="113" spans="1:54" ht="12.75">
      <c r="A113" s="144"/>
      <c r="B113" s="144" t="s">
        <v>222</v>
      </c>
      <c r="C113" s="198">
        <v>109056121</v>
      </c>
      <c r="D113" s="323">
        <v>6504.1136</v>
      </c>
      <c r="E113" s="323">
        <v>6528.5818</v>
      </c>
      <c r="F113" s="164">
        <v>4800</v>
      </c>
      <c r="G113" s="324">
        <f aca="true" t="shared" si="2" ref="G113:G132">E113-D113</f>
        <v>24.46820000000025</v>
      </c>
      <c r="H113" s="164"/>
      <c r="I113" s="164">
        <f>F113*G113+H113</f>
        <v>117447.36000000121</v>
      </c>
      <c r="J113" s="160"/>
      <c r="K113" s="160"/>
      <c r="L113" s="160"/>
      <c r="M113" s="160"/>
      <c r="N113" s="160"/>
      <c r="O113" s="160"/>
      <c r="P113" s="160"/>
      <c r="Q113" s="160"/>
      <c r="R113" s="16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273" t="s">
        <v>154</v>
      </c>
      <c r="AU113" s="150"/>
      <c r="AV113" s="150"/>
      <c r="AW113" s="150"/>
      <c r="AX113" s="150"/>
      <c r="AY113" s="151"/>
      <c r="AZ113" s="235">
        <v>23368</v>
      </c>
      <c r="BA113" s="199"/>
      <c r="BB113" s="299">
        <f>AZ113*BB58</f>
        <v>101632.25395102972</v>
      </c>
    </row>
    <row r="114" spans="1:54" ht="12.75">
      <c r="A114" s="143" t="s">
        <v>223</v>
      </c>
      <c r="B114" s="143" t="s">
        <v>235</v>
      </c>
      <c r="C114" s="197">
        <v>623125232</v>
      </c>
      <c r="D114" s="325">
        <v>3004.4408</v>
      </c>
      <c r="E114" s="325">
        <v>3004.4408</v>
      </c>
      <c r="F114" s="175">
        <v>1800</v>
      </c>
      <c r="G114" s="326">
        <f t="shared" si="2"/>
        <v>0</v>
      </c>
      <c r="H114" s="171"/>
      <c r="I114" s="175">
        <f>G114*F114</f>
        <v>0</v>
      </c>
      <c r="J114" s="160"/>
      <c r="K114" s="160"/>
      <c r="L114" s="160"/>
      <c r="M114" s="160"/>
      <c r="N114" s="160"/>
      <c r="O114" s="160"/>
      <c r="P114" s="160"/>
      <c r="Q114" s="160"/>
      <c r="R114" s="16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273" t="s">
        <v>362</v>
      </c>
      <c r="AU114" s="150"/>
      <c r="AV114" s="150"/>
      <c r="AW114" s="150"/>
      <c r="AX114" s="150"/>
      <c r="AY114" s="151"/>
      <c r="AZ114" s="235">
        <v>13903</v>
      </c>
      <c r="BA114" s="199"/>
      <c r="BB114" s="299">
        <f>AZ114*BB58</f>
        <v>60467.01586276815</v>
      </c>
    </row>
    <row r="115" spans="1:54" ht="12.75">
      <c r="A115" s="144"/>
      <c r="B115" s="144" t="s">
        <v>222</v>
      </c>
      <c r="C115" s="169"/>
      <c r="D115" s="228"/>
      <c r="E115" s="228"/>
      <c r="F115" s="164"/>
      <c r="G115" s="227"/>
      <c r="H115" s="169"/>
      <c r="I115" s="164"/>
      <c r="J115" s="160"/>
      <c r="K115" s="160"/>
      <c r="L115" s="160"/>
      <c r="M115" s="160"/>
      <c r="N115" s="160"/>
      <c r="O115" s="160"/>
      <c r="P115" s="160"/>
      <c r="Q115" s="160"/>
      <c r="R115" s="16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273" t="s">
        <v>297</v>
      </c>
      <c r="AU115" s="150"/>
      <c r="AV115" s="150"/>
      <c r="AW115" s="150"/>
      <c r="AX115" s="150"/>
      <c r="AY115" s="151"/>
      <c r="AZ115" s="235">
        <v>2812</v>
      </c>
      <c r="BA115" s="199"/>
      <c r="BB115" s="299">
        <f>AZ115*BB58</f>
        <v>12229.968251895565</v>
      </c>
    </row>
    <row r="116" spans="1:54" ht="12.75">
      <c r="A116" s="143" t="s">
        <v>225</v>
      </c>
      <c r="B116" s="143" t="s">
        <v>236</v>
      </c>
      <c r="C116" s="197">
        <v>623125667</v>
      </c>
      <c r="D116" s="325">
        <v>3629.7342</v>
      </c>
      <c r="E116" s="325">
        <v>3697.4237</v>
      </c>
      <c r="F116" s="175">
        <v>1800</v>
      </c>
      <c r="G116" s="326">
        <f t="shared" si="2"/>
        <v>67.68949999999995</v>
      </c>
      <c r="H116" s="171"/>
      <c r="I116" s="175">
        <f>G116*F116</f>
        <v>121841.09999999992</v>
      </c>
      <c r="J116" s="160"/>
      <c r="K116" s="160"/>
      <c r="L116" s="160"/>
      <c r="M116" s="160"/>
      <c r="N116" s="160"/>
      <c r="O116" s="160"/>
      <c r="P116" s="160"/>
      <c r="Q116" s="160"/>
      <c r="R116" s="16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273" t="s">
        <v>6</v>
      </c>
      <c r="AU116" s="150"/>
      <c r="AV116" s="150"/>
      <c r="AW116" s="150"/>
      <c r="AX116" s="150"/>
      <c r="AY116" s="151"/>
      <c r="AZ116" s="235">
        <v>15000</v>
      </c>
      <c r="BA116" s="199"/>
      <c r="BB116" s="299">
        <f>AZ116*BB58</f>
        <v>65238.09522703893</v>
      </c>
    </row>
    <row r="117" spans="1:54" ht="12.75">
      <c r="A117" s="144"/>
      <c r="B117" s="144" t="s">
        <v>222</v>
      </c>
      <c r="C117" s="169"/>
      <c r="D117" s="228"/>
      <c r="E117" s="228"/>
      <c r="F117" s="164"/>
      <c r="G117" s="227"/>
      <c r="H117" s="169"/>
      <c r="I117" s="164"/>
      <c r="J117" s="160"/>
      <c r="K117" s="160"/>
      <c r="L117" s="160"/>
      <c r="M117" s="160"/>
      <c r="N117" s="160"/>
      <c r="O117" s="160"/>
      <c r="P117" s="160"/>
      <c r="Q117" s="160"/>
      <c r="R117" s="16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273" t="s">
        <v>21</v>
      </c>
      <c r="AU117" s="214"/>
      <c r="AV117" s="150"/>
      <c r="AW117" s="150"/>
      <c r="AX117" s="150"/>
      <c r="AY117" s="151"/>
      <c r="AZ117" s="235">
        <v>6500</v>
      </c>
      <c r="BA117" s="199"/>
      <c r="BB117" s="299">
        <f>AZ117*BB58</f>
        <v>28269.841265050203</v>
      </c>
    </row>
    <row r="118" spans="1:54" ht="12.75">
      <c r="A118" s="143" t="s">
        <v>226</v>
      </c>
      <c r="B118" s="143" t="s">
        <v>237</v>
      </c>
      <c r="C118" s="197">
        <v>623126370</v>
      </c>
      <c r="D118" s="325">
        <v>718.6081</v>
      </c>
      <c r="E118" s="325">
        <v>732.5719</v>
      </c>
      <c r="F118" s="175">
        <v>4800</v>
      </c>
      <c r="G118" s="326">
        <f t="shared" si="2"/>
        <v>13.963799999999992</v>
      </c>
      <c r="H118" s="171"/>
      <c r="I118" s="175">
        <f>G118*F118</f>
        <v>67026.23999999996</v>
      </c>
      <c r="J118" s="160"/>
      <c r="K118" s="160"/>
      <c r="L118" s="160"/>
      <c r="M118" s="160"/>
      <c r="N118" s="160"/>
      <c r="O118" s="160"/>
      <c r="P118" s="160"/>
      <c r="Q118" s="160"/>
      <c r="R118" s="16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273" t="s">
        <v>388</v>
      </c>
      <c r="AU118" s="214"/>
      <c r="AV118" s="150"/>
      <c r="AW118" s="150"/>
      <c r="AX118" s="150"/>
      <c r="AY118" s="151"/>
      <c r="AZ118" s="235">
        <v>50</v>
      </c>
      <c r="BA118" s="199"/>
      <c r="BB118" s="299">
        <f>AZ118*BB58</f>
        <v>217.4603174234631</v>
      </c>
    </row>
    <row r="119" spans="1:54" ht="12.75">
      <c r="A119" s="144"/>
      <c r="B119" s="144" t="s">
        <v>222</v>
      </c>
      <c r="C119" s="169"/>
      <c r="D119" s="228"/>
      <c r="E119" s="228"/>
      <c r="F119" s="164"/>
      <c r="G119" s="227"/>
      <c r="H119" s="169"/>
      <c r="I119" s="164"/>
      <c r="J119" s="160"/>
      <c r="K119" s="160"/>
      <c r="L119" s="160"/>
      <c r="M119" s="160"/>
      <c r="N119" s="160"/>
      <c r="O119" s="160"/>
      <c r="P119" s="160"/>
      <c r="Q119" s="160"/>
      <c r="R119" s="16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273" t="s">
        <v>365</v>
      </c>
      <c r="AU119" s="214"/>
      <c r="AV119" s="150"/>
      <c r="AW119" s="150"/>
      <c r="AX119" s="150"/>
      <c r="AY119" s="151"/>
      <c r="AZ119" s="235">
        <v>28960</v>
      </c>
      <c r="BA119" s="199"/>
      <c r="BB119" s="299">
        <f>AZ119*BB58</f>
        <v>125953.01585166983</v>
      </c>
    </row>
    <row r="120" spans="1:54" ht="12.75">
      <c r="A120" s="143" t="s">
        <v>227</v>
      </c>
      <c r="B120" s="143" t="s">
        <v>238</v>
      </c>
      <c r="C120" s="197">
        <v>623125137</v>
      </c>
      <c r="D120" s="325">
        <v>695.661</v>
      </c>
      <c r="E120" s="325">
        <v>695.661</v>
      </c>
      <c r="F120" s="175">
        <v>4800</v>
      </c>
      <c r="G120" s="326">
        <f t="shared" si="2"/>
        <v>0</v>
      </c>
      <c r="H120" s="171"/>
      <c r="I120" s="175">
        <f>G120*F120</f>
        <v>0</v>
      </c>
      <c r="J120" s="160"/>
      <c r="K120" s="160"/>
      <c r="L120" s="160"/>
      <c r="M120" s="160"/>
      <c r="N120" s="160"/>
      <c r="O120" s="160"/>
      <c r="P120" s="160"/>
      <c r="Q120" s="160"/>
      <c r="R120" s="16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273"/>
      <c r="AU120" s="214"/>
      <c r="AV120" s="150"/>
      <c r="AW120" s="150"/>
      <c r="AX120" s="150"/>
      <c r="AY120" s="151"/>
      <c r="AZ120" s="235"/>
      <c r="BA120" s="199"/>
      <c r="BB120" s="299"/>
    </row>
    <row r="121" spans="1:54" ht="12.75">
      <c r="A121" s="144"/>
      <c r="B121" s="144" t="s">
        <v>222</v>
      </c>
      <c r="C121" s="169"/>
      <c r="D121" s="228"/>
      <c r="E121" s="228"/>
      <c r="F121" s="164"/>
      <c r="G121" s="227"/>
      <c r="H121" s="169"/>
      <c r="I121" s="164"/>
      <c r="J121" s="160"/>
      <c r="K121" s="160"/>
      <c r="L121" s="160"/>
      <c r="M121" s="160"/>
      <c r="N121" s="160"/>
      <c r="O121" s="160"/>
      <c r="P121" s="160"/>
      <c r="Q121" s="160"/>
      <c r="R121" s="16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02"/>
      <c r="AU121" s="150"/>
      <c r="AV121" s="150"/>
      <c r="AW121" s="150"/>
      <c r="AX121" s="150"/>
      <c r="AY121" s="151"/>
      <c r="AZ121" s="235"/>
      <c r="BA121" s="199"/>
      <c r="BB121" s="299"/>
    </row>
    <row r="122" spans="1:54" ht="12.75">
      <c r="A122" s="143" t="s">
        <v>228</v>
      </c>
      <c r="B122" s="143" t="s">
        <v>239</v>
      </c>
      <c r="C122" s="197">
        <v>623125142</v>
      </c>
      <c r="D122" s="325">
        <v>2487.588</v>
      </c>
      <c r="E122" s="325">
        <v>2516.4962</v>
      </c>
      <c r="F122" s="175">
        <v>2400</v>
      </c>
      <c r="G122" s="326">
        <f t="shared" si="2"/>
        <v>28.90819999999985</v>
      </c>
      <c r="H122" s="171"/>
      <c r="I122" s="175">
        <f>G122*F122</f>
        <v>69379.67999999964</v>
      </c>
      <c r="J122" s="160"/>
      <c r="K122" s="160"/>
      <c r="L122" s="160"/>
      <c r="M122" s="160"/>
      <c r="N122" s="160"/>
      <c r="O122" s="160"/>
      <c r="P122" s="160"/>
      <c r="Q122" s="160"/>
      <c r="R122" s="16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02"/>
      <c r="AU122" s="150"/>
      <c r="AV122" s="150"/>
      <c r="AW122" s="150"/>
      <c r="AX122" s="150"/>
      <c r="AY122" s="151"/>
      <c r="AZ122" s="235"/>
      <c r="BA122" s="199"/>
      <c r="BB122" s="299"/>
    </row>
    <row r="123" spans="1:54" ht="12.75">
      <c r="A123" s="144"/>
      <c r="B123" s="144" t="s">
        <v>222</v>
      </c>
      <c r="C123" s="169"/>
      <c r="D123" s="228"/>
      <c r="E123" s="228"/>
      <c r="F123" s="164"/>
      <c r="G123" s="227"/>
      <c r="H123" s="169"/>
      <c r="I123" s="164"/>
      <c r="J123" s="160"/>
      <c r="K123" s="160"/>
      <c r="L123" s="160"/>
      <c r="M123" s="160"/>
      <c r="N123" s="160"/>
      <c r="O123" s="160"/>
      <c r="P123" s="160"/>
      <c r="Q123" s="160"/>
      <c r="R123" s="16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02"/>
      <c r="AU123" s="150"/>
      <c r="AV123" s="150"/>
      <c r="AW123" s="150"/>
      <c r="AX123" s="150"/>
      <c r="AY123" s="151"/>
      <c r="AZ123" s="235"/>
      <c r="BA123" s="199"/>
      <c r="BB123" s="299"/>
    </row>
    <row r="124" spans="1:54" ht="12.75">
      <c r="A124" s="143" t="s">
        <v>229</v>
      </c>
      <c r="B124" s="143" t="s">
        <v>240</v>
      </c>
      <c r="C124" s="197">
        <v>623125205</v>
      </c>
      <c r="D124" s="325">
        <v>1938.622</v>
      </c>
      <c r="E124" s="325">
        <v>1980.5102</v>
      </c>
      <c r="F124" s="175">
        <v>1800</v>
      </c>
      <c r="G124" s="326">
        <f t="shared" si="2"/>
        <v>41.88819999999987</v>
      </c>
      <c r="H124" s="171"/>
      <c r="I124" s="175">
        <f>G124*F124</f>
        <v>75398.75999999976</v>
      </c>
      <c r="J124" s="160"/>
      <c r="K124" s="160"/>
      <c r="L124" s="160"/>
      <c r="M124" s="160"/>
      <c r="N124" s="160"/>
      <c r="O124" s="160"/>
      <c r="P124" s="160"/>
      <c r="Q124" s="160"/>
      <c r="R124" s="16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02"/>
      <c r="AU124" s="150"/>
      <c r="AV124" s="150"/>
      <c r="AW124" s="150"/>
      <c r="AX124" s="150"/>
      <c r="AY124" s="151"/>
      <c r="AZ124" s="235"/>
      <c r="BA124" s="199"/>
      <c r="BB124" s="299"/>
    </row>
    <row r="125" spans="1:54" ht="12.75">
      <c r="A125" s="144"/>
      <c r="B125" s="144" t="s">
        <v>222</v>
      </c>
      <c r="C125" s="169"/>
      <c r="D125" s="228"/>
      <c r="E125" s="228"/>
      <c r="F125" s="164"/>
      <c r="G125" s="227"/>
      <c r="H125" s="169"/>
      <c r="I125" s="164"/>
      <c r="J125" s="160"/>
      <c r="K125" s="160"/>
      <c r="L125" s="160"/>
      <c r="M125" s="160"/>
      <c r="N125" s="160"/>
      <c r="O125" s="160"/>
      <c r="P125" s="160"/>
      <c r="Q125" s="160"/>
      <c r="R125" s="16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02"/>
      <c r="AU125" s="150"/>
      <c r="AV125" s="150"/>
      <c r="AW125" s="150"/>
      <c r="AX125" s="150"/>
      <c r="AY125" s="151"/>
      <c r="AZ125" s="235"/>
      <c r="BA125" s="199"/>
      <c r="BB125" s="299"/>
    </row>
    <row r="126" spans="1:54" ht="12.75">
      <c r="A126" s="143" t="s">
        <v>230</v>
      </c>
      <c r="B126" s="143" t="s">
        <v>241</v>
      </c>
      <c r="C126" s="197">
        <v>623123704</v>
      </c>
      <c r="D126" s="325">
        <v>2387.9122</v>
      </c>
      <c r="E126" s="325">
        <v>2427.1508</v>
      </c>
      <c r="F126" s="175">
        <v>1800</v>
      </c>
      <c r="G126" s="326">
        <f t="shared" si="2"/>
        <v>39.23859999999968</v>
      </c>
      <c r="H126" s="171"/>
      <c r="I126" s="175">
        <f>G126*F126</f>
        <v>70629.47999999943</v>
      </c>
      <c r="J126" s="160"/>
      <c r="K126" s="160"/>
      <c r="L126" s="160"/>
      <c r="M126" s="160"/>
      <c r="N126" s="160"/>
      <c r="O126" s="160"/>
      <c r="P126" s="160"/>
      <c r="Q126" s="160"/>
      <c r="R126" s="16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02"/>
      <c r="AU126" s="150"/>
      <c r="AV126" s="219"/>
      <c r="AW126" s="219"/>
      <c r="AX126" s="150"/>
      <c r="AY126" s="151"/>
      <c r="AZ126" s="235"/>
      <c r="BA126" s="199"/>
      <c r="BB126" s="299"/>
    </row>
    <row r="127" spans="1:54" ht="12.75">
      <c r="A127" s="144"/>
      <c r="B127" s="144" t="s">
        <v>222</v>
      </c>
      <c r="C127" s="169"/>
      <c r="D127" s="228"/>
      <c r="E127" s="228"/>
      <c r="F127" s="164"/>
      <c r="G127" s="227"/>
      <c r="H127" s="169"/>
      <c r="I127" s="164"/>
      <c r="J127" s="160"/>
      <c r="K127" s="160"/>
      <c r="L127" s="160"/>
      <c r="M127" s="160"/>
      <c r="N127" s="160"/>
      <c r="O127" s="160"/>
      <c r="P127" s="160"/>
      <c r="Q127" s="160"/>
      <c r="R127" s="16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60"/>
      <c r="AU127" s="120"/>
      <c r="AV127" s="120"/>
      <c r="AW127" s="120"/>
      <c r="AX127" s="120"/>
      <c r="AY127" s="120"/>
      <c r="AZ127" s="274"/>
      <c r="BA127" s="120"/>
      <c r="BB127" s="120"/>
    </row>
    <row r="128" spans="1:54" ht="12.75">
      <c r="A128" s="143" t="s">
        <v>231</v>
      </c>
      <c r="B128" s="143" t="s">
        <v>242</v>
      </c>
      <c r="C128" s="197">
        <v>623125794</v>
      </c>
      <c r="D128" s="325">
        <v>94.254</v>
      </c>
      <c r="E128" s="325">
        <v>106.9098</v>
      </c>
      <c r="F128" s="175">
        <v>1800</v>
      </c>
      <c r="G128" s="326">
        <f>E128-D128</f>
        <v>12.6558</v>
      </c>
      <c r="H128" s="171"/>
      <c r="I128" s="175">
        <f>G128*F128</f>
        <v>22780.44</v>
      </c>
      <c r="J128" s="160"/>
      <c r="K128" s="160"/>
      <c r="L128" s="160"/>
      <c r="M128" s="160"/>
      <c r="N128" s="160"/>
      <c r="O128" s="160"/>
      <c r="P128" s="160"/>
      <c r="Q128" s="160"/>
      <c r="R128" s="16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60"/>
      <c r="AU128" s="120"/>
      <c r="AV128" s="120"/>
      <c r="AW128" s="120"/>
      <c r="AX128" s="120"/>
      <c r="AY128" s="120"/>
      <c r="AZ128" s="274"/>
      <c r="BA128" s="120"/>
      <c r="BB128" s="120"/>
    </row>
    <row r="129" spans="1:54" ht="12.75">
      <c r="A129" s="144"/>
      <c r="B129" s="144" t="s">
        <v>222</v>
      </c>
      <c r="C129" s="169"/>
      <c r="D129" s="228"/>
      <c r="E129" s="228"/>
      <c r="F129" s="164"/>
      <c r="G129" s="227"/>
      <c r="H129" s="169"/>
      <c r="I129" s="164"/>
      <c r="J129" s="160"/>
      <c r="K129" s="160"/>
      <c r="L129" s="160"/>
      <c r="M129" s="160"/>
      <c r="N129" s="160"/>
      <c r="O129" s="160"/>
      <c r="P129" s="160"/>
      <c r="Q129" s="160"/>
      <c r="R129" s="16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60"/>
      <c r="AU129" s="120"/>
      <c r="AV129" s="120"/>
      <c r="AW129" s="120"/>
      <c r="AX129" s="120"/>
      <c r="AY129" s="120"/>
      <c r="AZ129" s="274"/>
      <c r="BA129" s="120"/>
      <c r="BB129" s="120"/>
    </row>
    <row r="130" spans="1:54" ht="12.75">
      <c r="A130" s="143" t="s">
        <v>232</v>
      </c>
      <c r="B130" s="143" t="s">
        <v>243</v>
      </c>
      <c r="C130" s="197">
        <v>623125736</v>
      </c>
      <c r="D130" s="325">
        <v>2948.804</v>
      </c>
      <c r="E130" s="325">
        <v>2986.3394</v>
      </c>
      <c r="F130" s="175">
        <v>1200</v>
      </c>
      <c r="G130" s="326">
        <f t="shared" si="2"/>
        <v>37.535399999999754</v>
      </c>
      <c r="H130" s="171"/>
      <c r="I130" s="175">
        <f>G130*F130</f>
        <v>45042.479999999705</v>
      </c>
      <c r="J130" s="160"/>
      <c r="K130" s="160"/>
      <c r="L130" s="160"/>
      <c r="M130" s="160"/>
      <c r="N130" s="160"/>
      <c r="O130" s="160"/>
      <c r="P130" s="160"/>
      <c r="Q130" s="160"/>
      <c r="R130" s="16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60"/>
      <c r="AU130" s="120"/>
      <c r="AV130" s="120"/>
      <c r="AW130" s="120"/>
      <c r="AX130" s="120"/>
      <c r="AY130" s="120"/>
      <c r="AZ130" s="274"/>
      <c r="BA130" s="120"/>
      <c r="BB130" s="120"/>
    </row>
    <row r="131" spans="1:54" ht="12.75">
      <c r="A131" s="144"/>
      <c r="B131" s="144" t="s">
        <v>222</v>
      </c>
      <c r="C131" s="168"/>
      <c r="D131" s="228"/>
      <c r="E131" s="228"/>
      <c r="F131" s="164"/>
      <c r="G131" s="227"/>
      <c r="H131" s="169"/>
      <c r="I131" s="164"/>
      <c r="J131" s="160"/>
      <c r="K131" s="160"/>
      <c r="L131" s="160"/>
      <c r="M131" s="160"/>
      <c r="N131" s="160"/>
      <c r="O131" s="160"/>
      <c r="P131" s="160"/>
      <c r="Q131" s="160"/>
      <c r="R131" s="16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60"/>
      <c r="AU131" s="120" t="s">
        <v>9</v>
      </c>
      <c r="AV131" s="120"/>
      <c r="AW131" s="120"/>
      <c r="AX131" s="120"/>
      <c r="AY131" s="120"/>
      <c r="AZ131" s="301">
        <f>AZ9</f>
        <v>5967941</v>
      </c>
      <c r="BA131" s="120"/>
      <c r="BB131" s="275">
        <f>SUM(BB93:BB96)+BB103+BB109+SUM(BB112:BB126)</f>
        <v>25955806.88449</v>
      </c>
    </row>
    <row r="132" spans="1:54" ht="12.75">
      <c r="A132" s="143" t="s">
        <v>233</v>
      </c>
      <c r="B132" s="145" t="s">
        <v>234</v>
      </c>
      <c r="C132" s="197">
        <v>1110171156</v>
      </c>
      <c r="D132" s="325">
        <v>1379.6656</v>
      </c>
      <c r="E132" s="325">
        <v>1453.5528</v>
      </c>
      <c r="F132" s="175">
        <v>40</v>
      </c>
      <c r="G132" s="326">
        <f t="shared" si="2"/>
        <v>73.8871999999999</v>
      </c>
      <c r="H132" s="171"/>
      <c r="I132" s="175">
        <f>G132*F132</f>
        <v>2955.4879999999957</v>
      </c>
      <c r="J132" s="160"/>
      <c r="K132" s="160"/>
      <c r="L132" s="160"/>
      <c r="M132" s="160"/>
      <c r="N132" s="160"/>
      <c r="O132" s="160"/>
      <c r="P132" s="160"/>
      <c r="Q132" s="160"/>
      <c r="R132" s="16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60"/>
      <c r="AU132" s="120"/>
      <c r="AV132" s="120"/>
      <c r="AW132" s="120"/>
      <c r="AX132" s="120"/>
      <c r="AY132" s="120"/>
      <c r="AZ132" s="274"/>
      <c r="BA132" s="120"/>
      <c r="BB132" s="120"/>
    </row>
    <row r="133" spans="1:54" ht="12.75">
      <c r="A133" s="144"/>
      <c r="B133" s="103" t="s">
        <v>222</v>
      </c>
      <c r="C133" s="169"/>
      <c r="D133" s="379"/>
      <c r="E133" s="228"/>
      <c r="F133" s="164"/>
      <c r="G133" s="229"/>
      <c r="H133" s="169"/>
      <c r="I133" s="164"/>
      <c r="J133" s="160"/>
      <c r="K133" s="160"/>
      <c r="L133" s="160"/>
      <c r="M133" s="160"/>
      <c r="N133" s="160"/>
      <c r="O133" s="160"/>
      <c r="P133" s="160"/>
      <c r="Q133" s="160"/>
      <c r="R133" s="16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60"/>
      <c r="AU133" s="120"/>
      <c r="AV133" s="120"/>
      <c r="AW133" s="120"/>
      <c r="AX133" s="120"/>
      <c r="AY133" s="120"/>
      <c r="AZ133" s="120"/>
      <c r="BA133" s="120"/>
      <c r="BB133" s="120"/>
    </row>
    <row r="134" spans="1:54" ht="12.75">
      <c r="A134" s="201"/>
      <c r="B134" s="150"/>
      <c r="C134" s="191"/>
      <c r="D134" s="199"/>
      <c r="E134" s="200"/>
      <c r="F134" s="200"/>
      <c r="G134" s="215" t="s">
        <v>244</v>
      </c>
      <c r="H134" s="151"/>
      <c r="I134" s="235">
        <f>SUM(I112:I133)+I107</f>
        <v>1646654.827999998</v>
      </c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60" t="s">
        <v>603</v>
      </c>
      <c r="AU134" s="120"/>
      <c r="AV134" s="120"/>
      <c r="AW134" s="120"/>
      <c r="AX134" s="120"/>
      <c r="AY134" s="120"/>
      <c r="AZ134" s="120"/>
      <c r="BA134" s="120"/>
      <c r="BB134" s="120"/>
    </row>
    <row r="135" spans="1:54" ht="12.75">
      <c r="A135" s="143" t="s">
        <v>247</v>
      </c>
      <c r="B135" s="145" t="s">
        <v>245</v>
      </c>
      <c r="C135" s="202"/>
      <c r="D135" s="202"/>
      <c r="E135" s="203"/>
      <c r="F135" s="203"/>
      <c r="G135" s="204"/>
      <c r="H135" s="146"/>
      <c r="I135" s="205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60"/>
      <c r="AU135" s="120"/>
      <c r="AV135" s="120"/>
      <c r="AW135" s="120"/>
      <c r="AX135" s="120"/>
      <c r="AY135" s="120"/>
      <c r="AZ135" s="120"/>
      <c r="BA135" s="120"/>
      <c r="BB135" s="120"/>
    </row>
    <row r="136" spans="1:54" ht="12.75">
      <c r="A136" s="173"/>
      <c r="B136" s="159" t="s">
        <v>246</v>
      </c>
      <c r="C136" s="206"/>
      <c r="D136" s="191"/>
      <c r="E136" s="207"/>
      <c r="F136" s="207"/>
      <c r="G136" s="208"/>
      <c r="H136" s="148"/>
      <c r="I136" s="209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60" t="s">
        <v>143</v>
      </c>
      <c r="AU136" s="120"/>
      <c r="AV136" s="120"/>
      <c r="AW136" s="120"/>
      <c r="AX136" s="120"/>
      <c r="AY136" s="120"/>
      <c r="AZ136" s="120"/>
      <c r="BA136" s="120"/>
      <c r="BB136" s="120"/>
    </row>
    <row r="137" spans="1:54" ht="12.75">
      <c r="A137" s="145" t="s">
        <v>248</v>
      </c>
      <c r="B137" s="143" t="s">
        <v>489</v>
      </c>
      <c r="C137" s="304"/>
      <c r="D137" s="211"/>
      <c r="E137" s="211"/>
      <c r="F137" s="155"/>
      <c r="G137" s="212"/>
      <c r="H137" s="152"/>
      <c r="I137" s="155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60"/>
      <c r="AU137" s="120"/>
      <c r="AV137" s="120"/>
      <c r="AW137" s="120"/>
      <c r="AX137" s="120"/>
      <c r="AY137" s="120"/>
      <c r="AZ137" s="120"/>
      <c r="BA137" s="120"/>
      <c r="BB137" s="120"/>
    </row>
    <row r="138" spans="1:54" ht="12.75">
      <c r="A138" s="159"/>
      <c r="B138" s="173"/>
      <c r="C138" s="305">
        <v>611127627</v>
      </c>
      <c r="D138" s="302">
        <v>2487.7344</v>
      </c>
      <c r="E138" s="302">
        <v>2537.1956</v>
      </c>
      <c r="F138" s="155">
        <v>40</v>
      </c>
      <c r="G138" s="252">
        <f>E138-D138</f>
        <v>49.46120000000019</v>
      </c>
      <c r="H138" s="155"/>
      <c r="I138" s="155">
        <f>ROUND(F138*G138+H138,0)</f>
        <v>1978</v>
      </c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60"/>
      <c r="AU138" s="120"/>
      <c r="AV138" s="120"/>
      <c r="AW138" s="120"/>
      <c r="AX138" s="120"/>
      <c r="AY138" s="120"/>
      <c r="AZ138" s="120"/>
      <c r="BA138" s="120"/>
      <c r="BB138" s="120"/>
    </row>
    <row r="139" spans="1:54" ht="12.75">
      <c r="A139" s="159"/>
      <c r="B139" s="144" t="s">
        <v>467</v>
      </c>
      <c r="C139" s="305"/>
      <c r="D139" s="306"/>
      <c r="E139" s="306"/>
      <c r="F139" s="155"/>
      <c r="G139" s="212"/>
      <c r="H139" s="155"/>
      <c r="I139" s="155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</row>
    <row r="140" spans="1:54" ht="12.75">
      <c r="A140" s="143" t="s">
        <v>251</v>
      </c>
      <c r="B140" s="161"/>
      <c r="C140" s="213">
        <v>810120245</v>
      </c>
      <c r="D140" s="302">
        <v>1340.6091</v>
      </c>
      <c r="E140" s="302">
        <v>1340.9403</v>
      </c>
      <c r="F140" s="155">
        <v>3600</v>
      </c>
      <c r="G140" s="252">
        <f aca="true" t="shared" si="3" ref="G140:G145">E140-D140</f>
        <v>0.33120000000008076</v>
      </c>
      <c r="H140" s="155"/>
      <c r="I140" s="155">
        <f aca="true" t="shared" si="4" ref="I140:I145">ROUND(F140*G140+H140,0)</f>
        <v>1192</v>
      </c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</row>
    <row r="141" spans="1:54" ht="12.75">
      <c r="A141" s="173"/>
      <c r="B141" s="161" t="s">
        <v>495</v>
      </c>
      <c r="C141" s="213"/>
      <c r="D141" s="302"/>
      <c r="E141" s="302"/>
      <c r="F141" s="155"/>
      <c r="G141" s="252"/>
      <c r="H141" s="96"/>
      <c r="I141" s="155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</row>
    <row r="142" spans="1:54" ht="12.75">
      <c r="A142" s="173"/>
      <c r="B142" s="161"/>
      <c r="C142" s="210">
        <v>4050284</v>
      </c>
      <c r="D142" s="230">
        <v>4243.9283</v>
      </c>
      <c r="E142" s="230">
        <v>4266.558</v>
      </c>
      <c r="F142" s="155">
        <v>3600</v>
      </c>
      <c r="G142" s="253">
        <f t="shared" si="3"/>
        <v>22.629700000000412</v>
      </c>
      <c r="H142" s="96"/>
      <c r="I142" s="155">
        <f t="shared" si="4"/>
        <v>81467</v>
      </c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</row>
    <row r="143" spans="1:54" ht="12.75">
      <c r="A143" s="144"/>
      <c r="B143" s="149"/>
      <c r="C143" s="210"/>
      <c r="D143" s="230"/>
      <c r="E143" s="230"/>
      <c r="F143" s="155"/>
      <c r="G143" s="253"/>
      <c r="H143" s="96"/>
      <c r="I143" s="155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</row>
    <row r="144" spans="1:54" ht="12.75">
      <c r="A144" s="173" t="s">
        <v>252</v>
      </c>
      <c r="B144" s="143" t="s">
        <v>218</v>
      </c>
      <c r="C144" s="152"/>
      <c r="D144" s="211"/>
      <c r="E144" s="211"/>
      <c r="F144" s="155"/>
      <c r="G144" s="212"/>
      <c r="H144" s="96"/>
      <c r="I144" s="155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</row>
    <row r="145" spans="1:54" ht="12.75">
      <c r="A145" s="307"/>
      <c r="B145" s="173" t="s">
        <v>217</v>
      </c>
      <c r="C145" s="305">
        <v>611127492</v>
      </c>
      <c r="D145" s="302">
        <v>5881.7884</v>
      </c>
      <c r="E145" s="302">
        <v>5937.8404</v>
      </c>
      <c r="F145" s="155">
        <v>20</v>
      </c>
      <c r="G145" s="252">
        <f t="shared" si="3"/>
        <v>56.05199999999968</v>
      </c>
      <c r="H145" s="155"/>
      <c r="I145" s="155">
        <f t="shared" si="4"/>
        <v>1121</v>
      </c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</row>
    <row r="146" spans="1:54" ht="12.75">
      <c r="A146" s="145" t="s">
        <v>253</v>
      </c>
      <c r="B146" s="143" t="s">
        <v>490</v>
      </c>
      <c r="C146" s="309"/>
      <c r="D146" s="211"/>
      <c r="E146" s="211"/>
      <c r="F146" s="155"/>
      <c r="G146" s="212"/>
      <c r="H146" s="96"/>
      <c r="I146" s="155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</row>
    <row r="147" spans="1:54" ht="12.75">
      <c r="A147" s="308"/>
      <c r="B147" s="168" t="s">
        <v>546</v>
      </c>
      <c r="C147" s="305">
        <v>611127702</v>
      </c>
      <c r="D147" s="302">
        <v>6951.4388</v>
      </c>
      <c r="E147" s="302">
        <v>6984.6072</v>
      </c>
      <c r="F147" s="155">
        <v>60</v>
      </c>
      <c r="G147" s="252">
        <f>E147-D147</f>
        <v>33.168400000000474</v>
      </c>
      <c r="H147" s="96"/>
      <c r="I147" s="155">
        <f>ROUND(F147*G147+H147,0)</f>
        <v>1990</v>
      </c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</row>
    <row r="148" spans="1:54" ht="12.75">
      <c r="A148" s="159"/>
      <c r="B148" s="168" t="s">
        <v>547</v>
      </c>
      <c r="C148" s="305">
        <v>611127555</v>
      </c>
      <c r="D148" s="302">
        <v>1772.9228</v>
      </c>
      <c r="E148" s="302">
        <v>1918.5036</v>
      </c>
      <c r="F148" s="155">
        <v>60</v>
      </c>
      <c r="G148" s="252">
        <f>E148-D148</f>
        <v>145.58079999999995</v>
      </c>
      <c r="H148" s="96"/>
      <c r="I148" s="155">
        <f>ROUND(F148*G148+H148,0)</f>
        <v>8735</v>
      </c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</row>
    <row r="149" spans="1:54" ht="12.75">
      <c r="A149" s="145" t="s">
        <v>258</v>
      </c>
      <c r="B149" s="143" t="s">
        <v>491</v>
      </c>
      <c r="C149" s="310"/>
      <c r="D149" s="232"/>
      <c r="E149" s="232"/>
      <c r="F149" s="155"/>
      <c r="G149" s="212"/>
      <c r="H149" s="96"/>
      <c r="I149" s="155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</row>
    <row r="150" spans="1:54" ht="12.75">
      <c r="A150" s="308"/>
      <c r="B150" s="173"/>
      <c r="C150" s="305">
        <v>1110171163</v>
      </c>
      <c r="D150" s="230">
        <v>489.3704</v>
      </c>
      <c r="E150" s="230">
        <v>525.1676</v>
      </c>
      <c r="F150" s="155">
        <v>60</v>
      </c>
      <c r="G150" s="252">
        <f>E150-D150</f>
        <v>35.797199999999975</v>
      </c>
      <c r="H150" s="96"/>
      <c r="I150" s="155">
        <f>ROUND(F150*G150+H150,0)</f>
        <v>2148</v>
      </c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</row>
    <row r="151" spans="1:54" ht="12.75">
      <c r="A151" s="159"/>
      <c r="B151" s="173"/>
      <c r="C151" s="305"/>
      <c r="D151" s="211"/>
      <c r="E151" s="211"/>
      <c r="F151" s="155"/>
      <c r="G151" s="212"/>
      <c r="H151" s="96"/>
      <c r="I151" s="155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</row>
    <row r="152" spans="1:54" ht="12.75">
      <c r="A152" s="145" t="s">
        <v>260</v>
      </c>
      <c r="B152" s="143" t="s">
        <v>492</v>
      </c>
      <c r="C152" s="311"/>
      <c r="D152" s="232"/>
      <c r="E152" s="232"/>
      <c r="F152" s="155"/>
      <c r="G152" s="212"/>
      <c r="H152" s="96"/>
      <c r="I152" s="155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</row>
    <row r="153" spans="1:54" ht="12.75">
      <c r="A153" s="159"/>
      <c r="B153" s="173"/>
      <c r="C153" s="305">
        <v>1110171170</v>
      </c>
      <c r="D153" s="302">
        <v>189.9672</v>
      </c>
      <c r="E153" s="302">
        <v>194.9884</v>
      </c>
      <c r="F153" s="155">
        <v>40</v>
      </c>
      <c r="G153" s="252">
        <f>E153-D153</f>
        <v>5.021200000000022</v>
      </c>
      <c r="H153" s="155"/>
      <c r="I153" s="155">
        <f>ROUND(F153*G153+H153,0)</f>
        <v>201</v>
      </c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</row>
    <row r="154" spans="1:54" ht="12.75">
      <c r="A154" s="159"/>
      <c r="B154" s="173"/>
      <c r="C154" s="305"/>
      <c r="D154" s="306"/>
      <c r="E154" s="306"/>
      <c r="F154" s="155"/>
      <c r="G154" s="212"/>
      <c r="H154" s="155"/>
      <c r="I154" s="155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</row>
    <row r="155" spans="1:54" ht="12.75">
      <c r="A155" s="143" t="s">
        <v>261</v>
      </c>
      <c r="B155" s="147" t="s">
        <v>541</v>
      </c>
      <c r="C155" s="305">
        <v>611126342</v>
      </c>
      <c r="D155" s="302">
        <v>6059.7548</v>
      </c>
      <c r="E155" s="302">
        <v>6059.7548</v>
      </c>
      <c r="F155" s="155">
        <v>1800</v>
      </c>
      <c r="G155" s="252">
        <f>E155-D155</f>
        <v>0</v>
      </c>
      <c r="H155" s="155"/>
      <c r="I155" s="155">
        <f>ROUND(F155*G155+H155,0)</f>
        <v>0</v>
      </c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</row>
    <row r="156" spans="1:54" ht="12.75">
      <c r="A156" s="173"/>
      <c r="B156" s="161" t="s">
        <v>469</v>
      </c>
      <c r="C156" s="305">
        <v>611126404</v>
      </c>
      <c r="D156" s="302">
        <v>872.2902</v>
      </c>
      <c r="E156" s="302">
        <v>883.5888</v>
      </c>
      <c r="F156" s="155">
        <v>1800</v>
      </c>
      <c r="G156" s="252">
        <f>E156-D156</f>
        <v>11.298599999999965</v>
      </c>
      <c r="H156" s="155"/>
      <c r="I156" s="155">
        <f>ROUND(F156*G156+H156,0)</f>
        <v>20337</v>
      </c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</row>
    <row r="157" spans="1:54" ht="12.75">
      <c r="A157" s="144"/>
      <c r="B157" s="149" t="s">
        <v>509</v>
      </c>
      <c r="C157" s="305">
        <v>611126334</v>
      </c>
      <c r="D157" s="302">
        <v>0.1356</v>
      </c>
      <c r="E157" s="302">
        <v>0.1356</v>
      </c>
      <c r="F157" s="155">
        <v>1800</v>
      </c>
      <c r="G157" s="252">
        <f>E157-D157</f>
        <v>0</v>
      </c>
      <c r="H157" s="96"/>
      <c r="I157" s="155">
        <f>ROUND(F157*G157+H157,0)</f>
        <v>0</v>
      </c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</row>
    <row r="158" spans="1:54" ht="12.75">
      <c r="A158" s="159" t="s">
        <v>477</v>
      </c>
      <c r="B158" s="143" t="s">
        <v>493</v>
      </c>
      <c r="C158" s="305">
        <v>611127724</v>
      </c>
      <c r="D158" s="302">
        <v>649.154</v>
      </c>
      <c r="E158" s="302">
        <v>656.2832</v>
      </c>
      <c r="F158" s="155">
        <v>30</v>
      </c>
      <c r="G158" s="252">
        <f>E158-D158</f>
        <v>7.129199999999969</v>
      </c>
      <c r="H158" s="155"/>
      <c r="I158" s="155">
        <f>ROUND(F158*G158+H158,0)</f>
        <v>214</v>
      </c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</row>
    <row r="159" spans="1:54" ht="12.75">
      <c r="A159" s="103"/>
      <c r="B159" s="173" t="s">
        <v>540</v>
      </c>
      <c r="C159" s="305"/>
      <c r="D159" s="306"/>
      <c r="E159" s="306"/>
      <c r="F159" s="155"/>
      <c r="G159" s="212"/>
      <c r="H159" s="155"/>
      <c r="I159" s="155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</row>
    <row r="160" spans="1:54" ht="12.75">
      <c r="A160" s="96"/>
      <c r="B160" s="312"/>
      <c r="C160" s="171"/>
      <c r="D160" s="306"/>
      <c r="E160" s="306"/>
      <c r="F160" s="155"/>
      <c r="G160" s="212"/>
      <c r="H160" s="155"/>
      <c r="I160" s="155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</row>
    <row r="161" spans="1:54" ht="12.75">
      <c r="A161" s="103"/>
      <c r="B161" s="148"/>
      <c r="C161" s="150"/>
      <c r="D161" s="150"/>
      <c r="E161" s="150"/>
      <c r="F161" s="150" t="s">
        <v>264</v>
      </c>
      <c r="G161" s="150"/>
      <c r="H161" s="151"/>
      <c r="I161" s="235">
        <f>SUM(I137:I159)-I160</f>
        <v>119383</v>
      </c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</row>
    <row r="162" spans="1:54" ht="12.75">
      <c r="A162" s="102"/>
      <c r="B162" s="150"/>
      <c r="C162" s="150"/>
      <c r="D162" s="150"/>
      <c r="E162" s="150"/>
      <c r="F162" s="150"/>
      <c r="G162" s="150" t="s">
        <v>265</v>
      </c>
      <c r="H162" s="151"/>
      <c r="I162" s="235">
        <f>I103+I104+I107+I108+I109+I110-I134-I161</f>
        <v>3236480.7720000064</v>
      </c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</row>
    <row r="163" spans="1:54" ht="12.75">
      <c r="A163" s="96" t="s">
        <v>272</v>
      </c>
      <c r="B163" s="102" t="s">
        <v>266</v>
      </c>
      <c r="C163" s="150"/>
      <c r="D163" s="150"/>
      <c r="E163" s="150"/>
      <c r="F163" s="150"/>
      <c r="G163" s="150"/>
      <c r="H163" s="150"/>
      <c r="I163" s="151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</row>
    <row r="164" spans="1:54" ht="12.75">
      <c r="A164" s="143" t="s">
        <v>270</v>
      </c>
      <c r="B164" s="143" t="s">
        <v>267</v>
      </c>
      <c r="C164" s="171">
        <v>18705639</v>
      </c>
      <c r="D164" s="321">
        <v>38</v>
      </c>
      <c r="E164" s="321">
        <v>38</v>
      </c>
      <c r="F164" s="175">
        <v>30</v>
      </c>
      <c r="G164" s="322">
        <f>E164-D164</f>
        <v>0</v>
      </c>
      <c r="H164" s="143"/>
      <c r="I164" s="175">
        <f>F164*G164+H164</f>
        <v>0</v>
      </c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</row>
    <row r="165" spans="1:54" ht="12.75">
      <c r="A165" s="144"/>
      <c r="B165" s="144" t="s">
        <v>268</v>
      </c>
      <c r="C165" s="169"/>
      <c r="D165" s="144"/>
      <c r="E165" s="144"/>
      <c r="F165" s="164"/>
      <c r="G165" s="144"/>
      <c r="H165" s="144"/>
      <c r="I165" s="144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</row>
    <row r="166" spans="1:54" ht="12.75">
      <c r="A166" s="143" t="s">
        <v>271</v>
      </c>
      <c r="B166" s="143" t="s">
        <v>269</v>
      </c>
      <c r="C166" s="171">
        <v>18705843</v>
      </c>
      <c r="D166" s="321">
        <v>204.4</v>
      </c>
      <c r="E166" s="321">
        <v>204.4</v>
      </c>
      <c r="F166" s="175">
        <v>30</v>
      </c>
      <c r="G166" s="233">
        <f>E166-D166</f>
        <v>0</v>
      </c>
      <c r="H166" s="143"/>
      <c r="I166" s="175">
        <f>F166*G166+H166</f>
        <v>0</v>
      </c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</row>
    <row r="167" spans="1:54" ht="12.75">
      <c r="A167" s="144"/>
      <c r="B167" s="144" t="s">
        <v>268</v>
      </c>
      <c r="C167" s="169"/>
      <c r="D167" s="144"/>
      <c r="E167" s="144"/>
      <c r="F167" s="164"/>
      <c r="G167" s="144"/>
      <c r="H167" s="144"/>
      <c r="I167" s="144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</row>
    <row r="168" spans="1:54" ht="12.75">
      <c r="A168" s="102"/>
      <c r="B168" s="150"/>
      <c r="C168" s="217"/>
      <c r="D168" s="199"/>
      <c r="E168" s="218"/>
      <c r="F168" s="218" t="s">
        <v>273</v>
      </c>
      <c r="G168" s="219"/>
      <c r="H168" s="151"/>
      <c r="I168" s="155">
        <f>I164+I166</f>
        <v>0</v>
      </c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</row>
    <row r="169" spans="1:54" ht="12.75">
      <c r="A169" s="102"/>
      <c r="B169" s="150"/>
      <c r="C169" s="217"/>
      <c r="D169" s="199"/>
      <c r="E169" s="218"/>
      <c r="F169" s="218"/>
      <c r="G169" s="219" t="s">
        <v>274</v>
      </c>
      <c r="H169" s="151"/>
      <c r="I169" s="235">
        <f>I162+I168</f>
        <v>3236480.7720000064</v>
      </c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</row>
    <row r="170" spans="1:54" ht="12.75">
      <c r="A170" s="145" t="s">
        <v>275</v>
      </c>
      <c r="B170" s="146"/>
      <c r="C170" s="220"/>
      <c r="D170" s="202"/>
      <c r="E170" s="221"/>
      <c r="F170" s="221"/>
      <c r="G170" s="204"/>
      <c r="H170" s="146"/>
      <c r="I170" s="205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</row>
    <row r="171" spans="1:54" ht="12.75">
      <c r="A171" s="222" t="s">
        <v>538</v>
      </c>
      <c r="B171" s="223"/>
      <c r="C171" s="223"/>
      <c r="D171" s="191"/>
      <c r="E171" s="148"/>
      <c r="F171" s="148"/>
      <c r="G171" s="148"/>
      <c r="H171" s="148"/>
      <c r="I171" s="209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</row>
    <row r="172" spans="1:54" ht="12.75">
      <c r="A172" s="160" t="s">
        <v>279</v>
      </c>
      <c r="B172" s="160"/>
      <c r="C172" s="264"/>
      <c r="D172" s="181"/>
      <c r="E172" s="265"/>
      <c r="F172" s="265"/>
      <c r="G172" s="188"/>
      <c r="H172" s="160"/>
      <c r="I172" s="19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</row>
    <row r="173" spans="1:54" ht="12.75">
      <c r="A173" s="160"/>
      <c r="B173" s="160"/>
      <c r="C173" s="181"/>
      <c r="D173" s="313" t="s">
        <v>280</v>
      </c>
      <c r="E173" s="313"/>
      <c r="F173" s="314"/>
      <c r="G173" s="243"/>
      <c r="H173" s="243"/>
      <c r="I173" s="189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</row>
    <row r="174" spans="1:54" ht="12.75">
      <c r="A174" s="160"/>
      <c r="B174" s="160"/>
      <c r="C174" s="181"/>
      <c r="D174" s="313" t="s">
        <v>531</v>
      </c>
      <c r="E174" s="313"/>
      <c r="F174" s="314"/>
      <c r="G174" s="243"/>
      <c r="H174" s="243"/>
      <c r="I174" s="189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</row>
    <row r="175" spans="1:54" ht="12.75">
      <c r="A175" s="160"/>
      <c r="B175" s="160"/>
      <c r="C175" s="264"/>
      <c r="D175" s="313" t="s">
        <v>539</v>
      </c>
      <c r="E175" s="313"/>
      <c r="F175" s="314"/>
      <c r="G175" s="243"/>
      <c r="H175" s="243"/>
      <c r="I175" s="189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</row>
    <row r="176" spans="1:54" ht="12.75">
      <c r="A176" s="160"/>
      <c r="B176" s="160"/>
      <c r="C176" s="160"/>
      <c r="D176" s="160"/>
      <c r="E176" s="160"/>
      <c r="F176" s="160"/>
      <c r="G176" s="160"/>
      <c r="H176" s="160"/>
      <c r="I176" s="16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</row>
    <row r="177" spans="1:54" ht="12.75">
      <c r="A177" s="160"/>
      <c r="B177" s="160"/>
      <c r="C177" s="160"/>
      <c r="D177" s="160"/>
      <c r="E177" s="160"/>
      <c r="F177" s="160"/>
      <c r="G177" s="160"/>
      <c r="H177" s="160"/>
      <c r="I177" s="16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 t="s">
        <v>519</v>
      </c>
      <c r="BA177" s="120"/>
      <c r="BB177" s="120"/>
    </row>
    <row r="178" spans="1:54" ht="12.75">
      <c r="A178" s="160"/>
      <c r="B178" s="160"/>
      <c r="C178" s="315"/>
      <c r="D178" s="316"/>
      <c r="E178" s="316"/>
      <c r="F178" s="180"/>
      <c r="G178" s="317"/>
      <c r="H178" s="160"/>
      <c r="I178" s="18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 t="s">
        <v>513</v>
      </c>
      <c r="BA178" s="120" t="s">
        <v>109</v>
      </c>
      <c r="BB178" s="120"/>
    </row>
    <row r="179" spans="1:54" ht="12.75">
      <c r="A179" s="243"/>
      <c r="B179" s="160"/>
      <c r="C179" s="315"/>
      <c r="D179" s="316"/>
      <c r="E179" s="316"/>
      <c r="F179" s="180"/>
      <c r="G179" s="317"/>
      <c r="H179" s="160"/>
      <c r="I179" s="18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 t="s">
        <v>510</v>
      </c>
      <c r="AZ179" s="301">
        <f>AZ183+AZ184+AZ185</f>
        <v>3001544</v>
      </c>
      <c r="BA179" s="370">
        <f>AZ179*2.9</f>
        <v>8704477.6</v>
      </c>
      <c r="BB179" s="120"/>
    </row>
    <row r="180" spans="1:54" ht="12.75">
      <c r="A180" s="160"/>
      <c r="B180" s="160"/>
      <c r="C180" s="160"/>
      <c r="D180" s="160"/>
      <c r="E180" s="160"/>
      <c r="F180" s="160"/>
      <c r="G180" s="160"/>
      <c r="H180" s="160"/>
      <c r="I180" s="16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 t="s">
        <v>511</v>
      </c>
      <c r="AZ180" s="301">
        <f>AZ187-AZ179-AZ181</f>
        <v>2802617</v>
      </c>
      <c r="BA180" s="370">
        <f>AZ180*2.9</f>
        <v>8127589.3</v>
      </c>
      <c r="BB180" s="120"/>
    </row>
    <row r="181" spans="1:54" ht="12.75">
      <c r="A181" s="160"/>
      <c r="B181" s="160"/>
      <c r="C181" s="160"/>
      <c r="D181" s="160"/>
      <c r="E181" s="160"/>
      <c r="F181" s="160"/>
      <c r="G181" s="160"/>
      <c r="H181" s="160"/>
      <c r="I181" s="16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 t="s">
        <v>512</v>
      </c>
      <c r="AZ181" s="301">
        <f>AZ186</f>
        <v>163780</v>
      </c>
      <c r="BA181" s="370">
        <f>AZ181*2.9</f>
        <v>474962</v>
      </c>
      <c r="BB181" s="120"/>
    </row>
    <row r="182" spans="52:53" ht="12.75">
      <c r="AZ182" s="368"/>
      <c r="BA182" s="368"/>
    </row>
    <row r="183" spans="51:53" ht="12.75">
      <c r="AY183" s="120" t="s">
        <v>514</v>
      </c>
      <c r="AZ183" s="369">
        <v>2742934</v>
      </c>
      <c r="BA183" s="368"/>
    </row>
    <row r="184" spans="51:53" ht="12.75">
      <c r="AY184" s="120" t="s">
        <v>515</v>
      </c>
      <c r="AZ184" s="369">
        <f>AZ95</f>
        <v>76757</v>
      </c>
      <c r="BA184" s="368"/>
    </row>
    <row r="185" spans="51:53" ht="12.75">
      <c r="AY185" s="120" t="s">
        <v>517</v>
      </c>
      <c r="AZ185" s="369">
        <v>181853</v>
      </c>
      <c r="BA185" s="368"/>
    </row>
    <row r="186" spans="51:53" ht="12.75">
      <c r="AY186" s="120" t="s">
        <v>518</v>
      </c>
      <c r="AZ186" s="369">
        <v>163780</v>
      </c>
      <c r="BA186" s="368"/>
    </row>
    <row r="187" spans="51:52" ht="12.75">
      <c r="AY187" s="120" t="s">
        <v>516</v>
      </c>
      <c r="AZ187" s="369">
        <f>AZ131</f>
        <v>5967941</v>
      </c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 t="s">
        <v>552</v>
      </c>
      <c r="C196" s="4"/>
      <c r="D196" s="380">
        <v>42360.78</v>
      </c>
      <c r="E196" s="380">
        <v>42375.5</v>
      </c>
      <c r="F196" s="380">
        <v>1800</v>
      </c>
      <c r="G196" s="380">
        <f>E196-D196</f>
        <v>14.720000000001164</v>
      </c>
      <c r="H196" s="380"/>
      <c r="I196" s="155">
        <f>ROUND(F196*G196+H196,0)</f>
        <v>26496</v>
      </c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2.75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2.75">
      <c r="A200" s="11"/>
      <c r="B200" s="11"/>
      <c r="C200" s="11"/>
      <c r="D200" s="11"/>
      <c r="E200" s="11"/>
      <c r="F200" s="11"/>
      <c r="G200" s="11"/>
      <c r="H200" s="11"/>
      <c r="I200" s="11"/>
    </row>
  </sheetData>
  <sheetProtection/>
  <printOptions/>
  <pageMargins left="0.7874015748031497" right="0.1968503937007874" top="0.1968503937007874" bottom="0.1968503937007874" header="0.3937007874015748" footer="0.3937007874015748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главного энергетика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Гришанов Игорь Владимирович</dc:creator>
  <cp:keywords/>
  <dc:description/>
  <cp:lastModifiedBy>Сергей Ю. Ничков</cp:lastModifiedBy>
  <cp:lastPrinted>2021-01-04T06:31:46Z</cp:lastPrinted>
  <dcterms:created xsi:type="dcterms:W3CDTF">1997-07-03T12:02:26Z</dcterms:created>
  <dcterms:modified xsi:type="dcterms:W3CDTF">2021-01-11T05:43:59Z</dcterms:modified>
  <cp:category/>
  <cp:version/>
  <cp:contentType/>
  <cp:contentStatus/>
</cp:coreProperties>
</file>